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codeName="{4470D2CD-2249-CD33-4A35-6F278624656F}"/>
  <workbookPr codeName="EstaPasta_de_trabalho"/>
  <mc:AlternateContent xmlns:mc="http://schemas.openxmlformats.org/markup-compatibility/2006">
    <mc:Choice Requires="x15">
      <x15ac:absPath xmlns:x15ac="http://schemas.microsoft.com/office/spreadsheetml/2010/11/ac" url="C:\Users\ricki\Google Drive\Prefeitura\GINÁSIO MULTIUSO\5A ETAPA\03 - PROJETO BÁSICO\Novo Alterado\Correção p TIAGO\correção 24-04\"/>
    </mc:Choice>
  </mc:AlternateContent>
  <xr:revisionPtr revIDLastSave="0" documentId="13_ncr:1_{C46C7821-DECF-4373-8304-CCB81112D453}" xr6:coauthVersionLast="45" xr6:coauthVersionMax="45" xr10:uidLastSave="{00000000-0000-0000-0000-000000000000}"/>
  <workbookProtection workbookAlgorithmName="SHA-512" workbookHashValue="1zqX/X2hhKnH6NUzaopglMBUQSP5J+JqnAT0gVfkMLZtaGr2mxGpL2ixEVOWkgeGJ0vYejPG4FWyjGSJY+gk4g==" workbookSaltValue="pVR+Q3Y+GHcyEVRsdlvcXQ==" workbookSpinCount="100000" lockStructure="1"/>
  <bookViews>
    <workbookView xWindow="-120" yWindow="-120" windowWidth="29040" windowHeight="15840" activeTab="4" xr2:uid="{00000000-000D-0000-FFFF-FFFF00000000}"/>
  </bookViews>
  <sheets>
    <sheet name="DADOS" sheetId="16" r:id="rId1"/>
    <sheet name="BDI (1)" sheetId="17" r:id="rId2"/>
    <sheet name="PO" sheetId="12" r:id="rId3"/>
    <sheet name="PLQ" sheetId="13" state="hidden" r:id="rId4"/>
    <sheet name="CFF" sheetId="11" r:id="rId5"/>
  </sheets>
  <definedNames>
    <definedName name="_xlnm._FilterDatabase" localSheetId="4">CFF!#REF!</definedName>
    <definedName name="_xlnm._FilterDatabase" localSheetId="0">DADOS!#REF!</definedName>
    <definedName name="_xlnm._FilterDatabase" localSheetId="3">PLQ!$A$10:$O$13</definedName>
    <definedName name="_xlnm._FilterDatabase" localSheetId="2">PO!$C$10:$T$13</definedName>
    <definedName name="_xlnm.Print_Area" localSheetId="1">'BDI (1)'!$I$1:$R$50</definedName>
    <definedName name="_xlnm.Print_Area" localSheetId="4">CFF!$L$1:$X$72</definedName>
    <definedName name="_xlnm.Print_Area" localSheetId="0">DADOS!$A$1:$X$87</definedName>
    <definedName name="_xlnm.Print_Area" localSheetId="3">PLQ!$B$1:$P$140</definedName>
    <definedName name="_xlnm.Print_Area" localSheetId="2">PO!$K$1:$T$149</definedName>
    <definedName name="_xlnm.Database">TEXT(Import.DataBase,"mm-aaaa")</definedName>
    <definedName name="CFF.ColunaPadrão">CFF!$AC:$AC</definedName>
    <definedName name="CFF.Colunas">CFF!$P$10:$X$10</definedName>
    <definedName name="CFF.Dados">OFFSET(CFF!$L$17,1,0):OFFSET(CFF!$X$66,-1,-1)</definedName>
    <definedName name="CFF.IncluirLinha">MAX(PO!$V$12:$V$134)*CFF.NumLinha-ROW(CFF!$F$66)+ROW(CFF!$F$17)+1</definedName>
    <definedName name="CFF.Item">OFFSET(CFF!$L$17,1,0):OFFSET(CFF!$X$66,-1,-1)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OFFSET(PO!$M$12,1,0):OFFSET(PO!$M$134,-1,0)</definedName>
    <definedName name="Import.CR">DADOS!$A$29</definedName>
    <definedName name="Import.CTEF">DADOS!$A$43</definedName>
    <definedName name="Import.CustoUnitário">OFFSET(PO!$Q$12,1,0):OFFSET(PO!$Q$134,-1,0)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OFFSET(PO!$N$12,1,0):OFFSET(PO!$N$134,-1,0)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OFFSET(PO!$L$12,1,0):OFFSET(PO!$L$134,-1,0)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OFFSET(PO!$K$12,1,0):OFFSET(PO!$K$134,-1,0)</definedName>
    <definedName name="Import.Localidade">DADOS!$K$32</definedName>
    <definedName name="Import.LocalSINAPI">DADOS!$D$38</definedName>
    <definedName name="Import.Município">DADOS!$G$32</definedName>
    <definedName name="Import.Nível">OFFSET(PO!$J$12,1,0):OFFSET(PO!$J$134,-1,0)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OFFSET(PLQ!$F$12,1,0):OFFSET(PLQ!$P$134,-1,-1)</definedName>
    <definedName name="Import.POArred">PO!$X$3:$X$7</definedName>
    <definedName name="Import.PreçoTotal">OFFSET(PO!$T$12,1,0):OFFSET(PO!$T$134,-1,0)</definedName>
    <definedName name="Import.PreçoUnitário">OFFSET(PO!$S$12,1,0):OFFSET(PO!$S$134,-1,0)</definedName>
    <definedName name="Import.Programa">DADOS!$F$29</definedName>
    <definedName name="Import.Proponente">DADOS!$A$32</definedName>
    <definedName name="Import.Quantidade">OFFSET(PO!$P$12,1,0):OFFSET(PO!$P$134,-1,0)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OFFSET(PO!$O$12,1,0):OFFSET(PO!$O$134,-1,0)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OFFSET(PO!$Z$12,1,0):OFFSET(PO!$Z$134,-1,0)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PO!$K$135</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PLQ!$B$9:OFFSET(PLQ!$B$134,-1,0)</definedName>
    <definedName name="PLQ.LinhaPadrão">PLQ!$A$11:$P$11</definedName>
    <definedName name="PLQ.qtde.frentes">COUNTA(PLQ!$F$9:$P$9)</definedName>
    <definedName name="PO.BDI">OFFSET(PO!$R$12,1,0):OFFSET(PO!$R$134,-1,0)</definedName>
    <definedName name="PO.CustoRef">OFFSET(PO!$Y$12,1,0):OFFSET(PO!$Y$134,-1,0)</definedName>
    <definedName name="PO.CustoUnitario">ROUND(PO!$Q1,15-13*PO!$X$4)</definedName>
    <definedName name="PO.Dados">PO!$C$12:OFFSET(PO!$Z$134,-1,0)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"BASE"</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0" i="13" l="1"/>
  <c r="A130" i="13"/>
  <c r="W130" i="12"/>
  <c r="A130" i="12"/>
  <c r="F109" i="13"/>
  <c r="A109" i="13"/>
  <c r="W109" i="12"/>
  <c r="A109" i="12"/>
  <c r="F61" i="13"/>
  <c r="A61" i="13"/>
  <c r="W61" i="12"/>
  <c r="A61" i="12"/>
  <c r="I61" i="12" s="1"/>
  <c r="F63" i="13"/>
  <c r="A63" i="13"/>
  <c r="F62" i="13"/>
  <c r="A62" i="13"/>
  <c r="W63" i="12"/>
  <c r="A63" i="12"/>
  <c r="V63" i="12" s="1"/>
  <c r="W62" i="12"/>
  <c r="H62" i="12"/>
  <c r="A62" i="12"/>
  <c r="V62" i="12" s="1"/>
  <c r="F60" i="13"/>
  <c r="A60" i="13"/>
  <c r="W60" i="12"/>
  <c r="A60" i="12"/>
  <c r="F108" i="13"/>
  <c r="A108" i="13"/>
  <c r="W108" i="12"/>
  <c r="A108" i="12"/>
  <c r="I108" i="12" s="1"/>
  <c r="F97" i="13"/>
  <c r="A97" i="13"/>
  <c r="W97" i="12"/>
  <c r="A97" i="12"/>
  <c r="B108" i="12" l="1"/>
  <c r="E130" i="13"/>
  <c r="H130" i="12"/>
  <c r="V130" i="12"/>
  <c r="I130" i="12"/>
  <c r="B130" i="12"/>
  <c r="B61" i="12"/>
  <c r="E109" i="13"/>
  <c r="H109" i="12"/>
  <c r="V109" i="12"/>
  <c r="I109" i="12"/>
  <c r="B109" i="12"/>
  <c r="E61" i="13"/>
  <c r="H61" i="12"/>
  <c r="V61" i="12"/>
  <c r="E63" i="13"/>
  <c r="E62" i="13"/>
  <c r="E60" i="13"/>
  <c r="B63" i="12"/>
  <c r="I63" i="12"/>
  <c r="I62" i="12"/>
  <c r="B62" i="12"/>
  <c r="H63" i="12"/>
  <c r="H60" i="12"/>
  <c r="V60" i="12"/>
  <c r="I60" i="12"/>
  <c r="B60" i="12"/>
  <c r="E108" i="13"/>
  <c r="H108" i="12"/>
  <c r="V108" i="12"/>
  <c r="E97" i="13"/>
  <c r="B97" i="12"/>
  <c r="H97" i="12"/>
  <c r="V97" i="12"/>
  <c r="I97" i="12"/>
  <c r="F94" i="13"/>
  <c r="A94" i="13"/>
  <c r="W94" i="12"/>
  <c r="A94" i="12"/>
  <c r="F47" i="13"/>
  <c r="A47" i="13"/>
  <c r="W47" i="12"/>
  <c r="A47" i="12"/>
  <c r="E94" i="13" l="1"/>
  <c r="E47" i="13"/>
  <c r="H94" i="12"/>
  <c r="V94" i="12"/>
  <c r="I94" i="12"/>
  <c r="B94" i="12"/>
  <c r="I47" i="12"/>
  <c r="H47" i="12"/>
  <c r="V47" i="12"/>
  <c r="B47" i="12"/>
  <c r="F79" i="13"/>
  <c r="A79" i="13"/>
  <c r="W79" i="12"/>
  <c r="A79" i="12"/>
  <c r="F78" i="13"/>
  <c r="A78" i="13"/>
  <c r="W78" i="12"/>
  <c r="A78" i="12"/>
  <c r="I78" i="12" s="1"/>
  <c r="F77" i="13"/>
  <c r="A77" i="13"/>
  <c r="W77" i="12"/>
  <c r="A77" i="12"/>
  <c r="I77" i="12" s="1"/>
  <c r="F107" i="13"/>
  <c r="A107" i="13"/>
  <c r="W107" i="12"/>
  <c r="A107" i="12"/>
  <c r="I107" i="12" s="1"/>
  <c r="F59" i="13"/>
  <c r="A59" i="13"/>
  <c r="W59" i="12"/>
  <c r="A59" i="12"/>
  <c r="F24" i="13"/>
  <c r="A24" i="13"/>
  <c r="F23" i="13"/>
  <c r="A23" i="13"/>
  <c r="W24" i="12"/>
  <c r="A24" i="12"/>
  <c r="V24" i="12" s="1"/>
  <c r="W23" i="12"/>
  <c r="A23" i="12"/>
  <c r="V23" i="12" s="1"/>
  <c r="X61" i="12"/>
  <c r="X63" i="12"/>
  <c r="X62" i="12"/>
  <c r="X60" i="12"/>
  <c r="X108" i="12"/>
  <c r="X97" i="12"/>
  <c r="X130" i="12"/>
  <c r="X109" i="12"/>
  <c r="E78" i="13" l="1"/>
  <c r="H23" i="12"/>
  <c r="B78" i="12"/>
  <c r="B107" i="12"/>
  <c r="B77" i="12"/>
  <c r="E79" i="13"/>
  <c r="E77" i="13"/>
  <c r="H79" i="12"/>
  <c r="V79" i="12"/>
  <c r="I79" i="12"/>
  <c r="B79" i="12"/>
  <c r="E24" i="13"/>
  <c r="E107" i="13"/>
  <c r="H78" i="12"/>
  <c r="V78" i="12"/>
  <c r="H77" i="12"/>
  <c r="V77" i="12"/>
  <c r="E59" i="13"/>
  <c r="H107" i="12"/>
  <c r="V107" i="12"/>
  <c r="E23" i="13"/>
  <c r="H59" i="12"/>
  <c r="V59" i="12"/>
  <c r="I59" i="12"/>
  <c r="B59" i="12"/>
  <c r="B24" i="12"/>
  <c r="I24" i="12"/>
  <c r="I23" i="12"/>
  <c r="B23" i="12"/>
  <c r="H24" i="12"/>
  <c r="F66" i="13"/>
  <c r="A66" i="13"/>
  <c r="W66" i="12"/>
  <c r="B66" i="12"/>
  <c r="A66" i="12"/>
  <c r="I66" i="12" s="1"/>
  <c r="F89" i="13"/>
  <c r="A89" i="13"/>
  <c r="W89" i="12"/>
  <c r="A89" i="12"/>
  <c r="I89" i="12" s="1"/>
  <c r="F86" i="13"/>
  <c r="A86" i="13"/>
  <c r="W86" i="12"/>
  <c r="A86" i="12"/>
  <c r="F39" i="13"/>
  <c r="A39" i="13"/>
  <c r="W39" i="12"/>
  <c r="A39" i="12"/>
  <c r="I39" i="12" s="1"/>
  <c r="F74" i="13"/>
  <c r="A74" i="13"/>
  <c r="W74" i="12"/>
  <c r="A74" i="12"/>
  <c r="F113" i="13"/>
  <c r="A113" i="13"/>
  <c r="F112" i="13"/>
  <c r="A112" i="13"/>
  <c r="F111" i="13"/>
  <c r="A111" i="13"/>
  <c r="W113" i="12"/>
  <c r="A113" i="12"/>
  <c r="B113" i="12" s="1"/>
  <c r="W112" i="12"/>
  <c r="A112" i="12"/>
  <c r="W111" i="12"/>
  <c r="A111" i="12"/>
  <c r="B111" i="12" s="1"/>
  <c r="F117" i="13"/>
  <c r="A117" i="13"/>
  <c r="F116" i="13"/>
  <c r="A116" i="13"/>
  <c r="W117" i="12"/>
  <c r="A117" i="12"/>
  <c r="V117" i="12" s="1"/>
  <c r="W116" i="12"/>
  <c r="A116" i="12"/>
  <c r="I116" i="12" s="1"/>
  <c r="F73" i="13"/>
  <c r="A73" i="13"/>
  <c r="W73" i="12"/>
  <c r="A73" i="12"/>
  <c r="F72" i="13"/>
  <c r="A72" i="13"/>
  <c r="W72" i="12"/>
  <c r="A72" i="12"/>
  <c r="F69" i="13"/>
  <c r="A69" i="13"/>
  <c r="W69" i="12"/>
  <c r="A69" i="12"/>
  <c r="F68" i="13"/>
  <c r="A68" i="13"/>
  <c r="W68" i="12"/>
  <c r="A68" i="12"/>
  <c r="F67" i="13"/>
  <c r="A67" i="13"/>
  <c r="W67" i="12"/>
  <c r="A67" i="12"/>
  <c r="F65" i="13"/>
  <c r="A65" i="13"/>
  <c r="W65" i="12"/>
  <c r="A65" i="12"/>
  <c r="F76" i="13"/>
  <c r="A76" i="13"/>
  <c r="F75" i="13"/>
  <c r="A75" i="13"/>
  <c r="W76" i="12"/>
  <c r="A76" i="12"/>
  <c r="V76" i="12" s="1"/>
  <c r="W75" i="12"/>
  <c r="A75" i="12"/>
  <c r="F58" i="13"/>
  <c r="A58" i="13"/>
  <c r="F57" i="13"/>
  <c r="A57" i="13"/>
  <c r="F56" i="13"/>
  <c r="A56" i="13"/>
  <c r="W58" i="12"/>
  <c r="A58" i="12"/>
  <c r="W57" i="12"/>
  <c r="A57" i="12"/>
  <c r="W56" i="12"/>
  <c r="A56" i="12"/>
  <c r="F106" i="13"/>
  <c r="A106" i="13"/>
  <c r="W106" i="12"/>
  <c r="A106" i="12"/>
  <c r="I106" i="12" s="1"/>
  <c r="F105" i="13"/>
  <c r="A105" i="13"/>
  <c r="W105" i="12"/>
  <c r="A105" i="12"/>
  <c r="I105" i="12" s="1"/>
  <c r="F104" i="13"/>
  <c r="A104" i="13"/>
  <c r="W104" i="12"/>
  <c r="A104" i="12"/>
  <c r="I104" i="12" s="1"/>
  <c r="F96" i="13"/>
  <c r="A96" i="13"/>
  <c r="W96" i="12"/>
  <c r="A96" i="12"/>
  <c r="I96" i="12" s="1"/>
  <c r="F49" i="13"/>
  <c r="A49" i="13"/>
  <c r="W49" i="12"/>
  <c r="A49" i="12"/>
  <c r="I49" i="12" s="1"/>
  <c r="F42" i="13"/>
  <c r="A42" i="13"/>
  <c r="W42" i="12"/>
  <c r="A42" i="12"/>
  <c r="I42" i="12" s="1"/>
  <c r="F37" i="13"/>
  <c r="A37" i="13"/>
  <c r="W37" i="12"/>
  <c r="A37" i="12"/>
  <c r="F29" i="13"/>
  <c r="A29" i="13"/>
  <c r="W29" i="12"/>
  <c r="A29" i="12"/>
  <c r="F26" i="13"/>
  <c r="A26" i="13"/>
  <c r="W26" i="12"/>
  <c r="A26" i="12"/>
  <c r="F18" i="13"/>
  <c r="A18" i="13"/>
  <c r="W18" i="12"/>
  <c r="A18" i="12"/>
  <c r="F15" i="13"/>
  <c r="A15" i="13"/>
  <c r="W15" i="12"/>
  <c r="A15" i="12"/>
  <c r="I15" i="12" s="1"/>
  <c r="Y130" i="12"/>
  <c r="Y109" i="12"/>
  <c r="Y61" i="12"/>
  <c r="Y63" i="12"/>
  <c r="Y62" i="12"/>
  <c r="Y60" i="12"/>
  <c r="Y108" i="12"/>
  <c r="Y97" i="12"/>
  <c r="C130" i="13" l="1"/>
  <c r="D130" i="13"/>
  <c r="C109" i="13"/>
  <c r="D109" i="13"/>
  <c r="C61" i="13"/>
  <c r="D61" i="13"/>
  <c r="C63" i="13"/>
  <c r="D63" i="13"/>
  <c r="C62" i="13"/>
  <c r="D62" i="13"/>
  <c r="C60" i="13"/>
  <c r="D60" i="13"/>
  <c r="C108" i="13"/>
  <c r="D108" i="13"/>
  <c r="C97" i="13"/>
  <c r="D97" i="13"/>
  <c r="E66" i="13"/>
  <c r="H66" i="12"/>
  <c r="V66" i="12"/>
  <c r="B89" i="12"/>
  <c r="E89" i="13"/>
  <c r="E86" i="13"/>
  <c r="H89" i="12"/>
  <c r="V89" i="12"/>
  <c r="E74" i="13"/>
  <c r="H86" i="12"/>
  <c r="V86" i="12"/>
  <c r="I86" i="12"/>
  <c r="B86" i="12"/>
  <c r="E39" i="13"/>
  <c r="B39" i="12"/>
  <c r="H39" i="12"/>
  <c r="V39" i="12"/>
  <c r="E113" i="13"/>
  <c r="H74" i="12"/>
  <c r="V74" i="12"/>
  <c r="I74" i="12"/>
  <c r="B74" i="12"/>
  <c r="E117" i="13"/>
  <c r="E112" i="13"/>
  <c r="E116" i="13"/>
  <c r="H111" i="12"/>
  <c r="V111" i="12"/>
  <c r="H113" i="12"/>
  <c r="V113" i="12"/>
  <c r="I111" i="12"/>
  <c r="I113" i="12"/>
  <c r="E111" i="13"/>
  <c r="B117" i="12"/>
  <c r="H112" i="12"/>
  <c r="V112" i="12"/>
  <c r="I112" i="12"/>
  <c r="E73" i="13"/>
  <c r="B112" i="12"/>
  <c r="H117" i="12"/>
  <c r="B116" i="12"/>
  <c r="H116" i="12"/>
  <c r="V116" i="12"/>
  <c r="I117" i="12"/>
  <c r="H73" i="12"/>
  <c r="V73" i="12"/>
  <c r="I73" i="12"/>
  <c r="B73" i="12"/>
  <c r="E72" i="13"/>
  <c r="E69" i="13"/>
  <c r="E68" i="13"/>
  <c r="H72" i="12"/>
  <c r="V72" i="12"/>
  <c r="I72" i="12"/>
  <c r="B72" i="12"/>
  <c r="E67" i="13"/>
  <c r="H69" i="12"/>
  <c r="V69" i="12"/>
  <c r="I69" i="12"/>
  <c r="B69" i="12"/>
  <c r="H68" i="12"/>
  <c r="V68" i="12"/>
  <c r="I68" i="12"/>
  <c r="B68" i="12"/>
  <c r="B106" i="12"/>
  <c r="H67" i="12"/>
  <c r="V67" i="12"/>
  <c r="I67" i="12"/>
  <c r="B67" i="12"/>
  <c r="E65" i="13"/>
  <c r="H65" i="12"/>
  <c r="V65" i="12"/>
  <c r="I65" i="12"/>
  <c r="B65" i="12"/>
  <c r="H76" i="12"/>
  <c r="E57" i="13"/>
  <c r="E76" i="13"/>
  <c r="I76" i="12"/>
  <c r="E75" i="13"/>
  <c r="B76" i="12"/>
  <c r="E58" i="13"/>
  <c r="H75" i="12"/>
  <c r="V75" i="12"/>
  <c r="I75" i="12"/>
  <c r="B75" i="12"/>
  <c r="H56" i="12"/>
  <c r="V56" i="12"/>
  <c r="H58" i="12"/>
  <c r="V58" i="12"/>
  <c r="I56" i="12"/>
  <c r="I58" i="12"/>
  <c r="E56" i="13"/>
  <c r="B56" i="12"/>
  <c r="B58" i="12"/>
  <c r="H57" i="12"/>
  <c r="V57" i="12"/>
  <c r="I57" i="12"/>
  <c r="B57" i="12"/>
  <c r="E105" i="13"/>
  <c r="E106" i="13"/>
  <c r="B105" i="12"/>
  <c r="H106" i="12"/>
  <c r="V106" i="12"/>
  <c r="B104" i="12"/>
  <c r="H105" i="12"/>
  <c r="V105" i="12"/>
  <c r="E96" i="13"/>
  <c r="E104" i="13"/>
  <c r="E49" i="13"/>
  <c r="H104" i="12"/>
  <c r="V104" i="12"/>
  <c r="B96" i="12"/>
  <c r="H96" i="12"/>
  <c r="V96" i="12"/>
  <c r="B49" i="12"/>
  <c r="H49" i="12"/>
  <c r="V49" i="12"/>
  <c r="E42" i="13"/>
  <c r="B42" i="12"/>
  <c r="H42" i="12"/>
  <c r="V42" i="12"/>
  <c r="E29" i="13"/>
  <c r="E37" i="13"/>
  <c r="H37" i="12"/>
  <c r="V37" i="12"/>
  <c r="I37" i="12"/>
  <c r="B37" i="12"/>
  <c r="H29" i="12"/>
  <c r="V29" i="12"/>
  <c r="I29" i="12"/>
  <c r="B29" i="12"/>
  <c r="E26" i="13"/>
  <c r="H26" i="12"/>
  <c r="V26" i="12"/>
  <c r="I26" i="12"/>
  <c r="B26" i="12"/>
  <c r="E18" i="13"/>
  <c r="H18" i="12"/>
  <c r="V18" i="12"/>
  <c r="I18" i="12"/>
  <c r="B18" i="12"/>
  <c r="E15" i="13"/>
  <c r="B15" i="12"/>
  <c r="H15" i="12"/>
  <c r="V15" i="12"/>
  <c r="F34" i="13"/>
  <c r="A34" i="13"/>
  <c r="W34" i="12"/>
  <c r="A34" i="12"/>
  <c r="I34" i="12" s="1"/>
  <c r="F35" i="13"/>
  <c r="A35" i="13"/>
  <c r="F33" i="13"/>
  <c r="A33" i="13"/>
  <c r="W35" i="12"/>
  <c r="A35" i="12"/>
  <c r="V35" i="12" s="1"/>
  <c r="W33" i="12"/>
  <c r="A33" i="12"/>
  <c r="E33" i="13" l="1"/>
  <c r="E34" i="13"/>
  <c r="E35" i="13"/>
  <c r="B34" i="12"/>
  <c r="H34" i="12"/>
  <c r="V34" i="12"/>
  <c r="B35" i="12"/>
  <c r="I35" i="12"/>
  <c r="I33" i="12"/>
  <c r="B33" i="12"/>
  <c r="H33" i="12"/>
  <c r="V33" i="12"/>
  <c r="H35" i="12"/>
  <c r="F82" i="13"/>
  <c r="A82" i="13"/>
  <c r="W82" i="12"/>
  <c r="A82" i="12"/>
  <c r="I82" i="12" s="1"/>
  <c r="F28" i="13"/>
  <c r="A28" i="13"/>
  <c r="F27" i="13"/>
  <c r="A27" i="13"/>
  <c r="F25" i="13"/>
  <c r="A25" i="13"/>
  <c r="E25" i="13" s="1"/>
  <c r="W28" i="12"/>
  <c r="A28" i="12"/>
  <c r="V28" i="12" s="1"/>
  <c r="W27" i="12"/>
  <c r="A27" i="12"/>
  <c r="H27" i="12" s="1"/>
  <c r="X25" i="12"/>
  <c r="Y25" i="12" s="1"/>
  <c r="W25" i="12"/>
  <c r="A25" i="12"/>
  <c r="F22" i="13"/>
  <c r="A22" i="13"/>
  <c r="W22" i="12"/>
  <c r="A22" i="12"/>
  <c r="F21" i="13"/>
  <c r="A21" i="13"/>
  <c r="W21" i="12"/>
  <c r="A21" i="12"/>
  <c r="F20" i="13"/>
  <c r="A20" i="13"/>
  <c r="F19" i="13"/>
  <c r="A19" i="13"/>
  <c r="F17" i="13"/>
  <c r="A17" i="13"/>
  <c r="F16" i="13"/>
  <c r="A16" i="13"/>
  <c r="W20" i="12"/>
  <c r="A20" i="12"/>
  <c r="H20" i="12" s="1"/>
  <c r="W19" i="12"/>
  <c r="A19" i="12"/>
  <c r="V19" i="12" s="1"/>
  <c r="W17" i="12"/>
  <c r="A17" i="12"/>
  <c r="V17" i="12" s="1"/>
  <c r="W16" i="12"/>
  <c r="A16" i="12"/>
  <c r="V16" i="12" s="1"/>
  <c r="F31" i="13"/>
  <c r="A31" i="13"/>
  <c r="E31" i="13" s="1"/>
  <c r="X31" i="12"/>
  <c r="Y31" i="12" s="1"/>
  <c r="W31" i="12"/>
  <c r="A31" i="12"/>
  <c r="C31" i="13" s="1"/>
  <c r="F11" i="13"/>
  <c r="F133" i="13"/>
  <c r="F132" i="13"/>
  <c r="F131" i="13"/>
  <c r="F129" i="13"/>
  <c r="F128" i="13"/>
  <c r="F127" i="13"/>
  <c r="F126" i="13"/>
  <c r="F125" i="13"/>
  <c r="F124" i="13"/>
  <c r="F123" i="13"/>
  <c r="F122" i="13"/>
  <c r="F121" i="13"/>
  <c r="F120" i="13"/>
  <c r="F119" i="13"/>
  <c r="F118" i="13"/>
  <c r="F115" i="13"/>
  <c r="F114" i="13"/>
  <c r="F110" i="13"/>
  <c r="F103" i="13"/>
  <c r="F102" i="13"/>
  <c r="F101" i="13"/>
  <c r="F100" i="13"/>
  <c r="F99" i="13"/>
  <c r="F98" i="13"/>
  <c r="F95" i="13"/>
  <c r="F93" i="13"/>
  <c r="F92" i="13"/>
  <c r="F91" i="13"/>
  <c r="F90" i="13"/>
  <c r="F88" i="13"/>
  <c r="F87" i="13"/>
  <c r="F85" i="13"/>
  <c r="F84" i="13"/>
  <c r="F83" i="13"/>
  <c r="F81" i="13"/>
  <c r="F80" i="13"/>
  <c r="F71" i="13"/>
  <c r="F70" i="13"/>
  <c r="F64" i="13"/>
  <c r="F55" i="13"/>
  <c r="F54" i="13"/>
  <c r="F53" i="13"/>
  <c r="F52" i="13"/>
  <c r="F51" i="13"/>
  <c r="F50" i="13"/>
  <c r="F48" i="13"/>
  <c r="F46" i="13"/>
  <c r="F45" i="13"/>
  <c r="F44" i="13"/>
  <c r="F43" i="13"/>
  <c r="F41" i="13"/>
  <c r="F40" i="13"/>
  <c r="F38" i="13"/>
  <c r="F36" i="13"/>
  <c r="F32" i="13"/>
  <c r="F30" i="13"/>
  <c r="F14" i="13"/>
  <c r="F13" i="13"/>
  <c r="A133" i="13"/>
  <c r="A132" i="13"/>
  <c r="A131" i="13"/>
  <c r="A129" i="13"/>
  <c r="A128" i="13"/>
  <c r="A127" i="13"/>
  <c r="A126" i="13"/>
  <c r="A125" i="13"/>
  <c r="A124" i="13"/>
  <c r="A123" i="13"/>
  <c r="A122" i="13"/>
  <c r="A121" i="13"/>
  <c r="A120" i="13"/>
  <c r="A119" i="13"/>
  <c r="A118" i="13"/>
  <c r="A115" i="13"/>
  <c r="A114" i="13"/>
  <c r="A110" i="13"/>
  <c r="E110" i="13" s="1"/>
  <c r="A103" i="13"/>
  <c r="A102" i="13"/>
  <c r="A101" i="13"/>
  <c r="A100" i="13"/>
  <c r="A99" i="13"/>
  <c r="A98" i="13"/>
  <c r="A95" i="13"/>
  <c r="A93" i="13"/>
  <c r="A92" i="13"/>
  <c r="A91" i="13"/>
  <c r="A90" i="13"/>
  <c r="A88" i="13"/>
  <c r="A87" i="13"/>
  <c r="A85" i="13"/>
  <c r="A84" i="13"/>
  <c r="A83" i="13"/>
  <c r="A81" i="13"/>
  <c r="A80" i="13"/>
  <c r="A71" i="13"/>
  <c r="A70" i="13"/>
  <c r="A64" i="13"/>
  <c r="A55" i="13"/>
  <c r="A54" i="13"/>
  <c r="A53" i="13"/>
  <c r="A52" i="13"/>
  <c r="A51" i="13"/>
  <c r="A50" i="13"/>
  <c r="E50" i="13" s="1"/>
  <c r="A48" i="13"/>
  <c r="A46" i="13"/>
  <c r="A45" i="13"/>
  <c r="A44" i="13"/>
  <c r="E44" i="13" s="1"/>
  <c r="A43" i="13"/>
  <c r="A41" i="13"/>
  <c r="A40" i="13"/>
  <c r="A38" i="13"/>
  <c r="A36" i="13"/>
  <c r="A32" i="13"/>
  <c r="A30" i="13"/>
  <c r="A14" i="13"/>
  <c r="W133" i="12"/>
  <c r="A133" i="12"/>
  <c r="V133" i="12" s="1"/>
  <c r="W132" i="12"/>
  <c r="A132" i="12"/>
  <c r="V132" i="12" s="1"/>
  <c r="X131" i="12"/>
  <c r="Y131" i="12" s="1"/>
  <c r="W131" i="12"/>
  <c r="A131" i="12"/>
  <c r="W129" i="12"/>
  <c r="A129" i="12"/>
  <c r="B129" i="12" s="1"/>
  <c r="W128" i="12"/>
  <c r="A128" i="12"/>
  <c r="W127" i="12"/>
  <c r="A127" i="12"/>
  <c r="I127" i="12" s="1"/>
  <c r="W126" i="12"/>
  <c r="A126" i="12"/>
  <c r="V126" i="12" s="1"/>
  <c r="W125" i="12"/>
  <c r="A125" i="12"/>
  <c r="W124" i="12"/>
  <c r="A124" i="12"/>
  <c r="H124" i="12" s="1"/>
  <c r="W123" i="12"/>
  <c r="A123" i="12"/>
  <c r="V123" i="12" s="1"/>
  <c r="W122" i="12"/>
  <c r="A122" i="12"/>
  <c r="V122" i="12" s="1"/>
  <c r="W121" i="12"/>
  <c r="A121" i="12"/>
  <c r="V121" i="12" s="1"/>
  <c r="W120" i="12"/>
  <c r="A120" i="12"/>
  <c r="I120" i="12" s="1"/>
  <c r="W119" i="12"/>
  <c r="A119" i="12"/>
  <c r="X118" i="12"/>
  <c r="Y118" i="12" s="1"/>
  <c r="W118" i="12"/>
  <c r="A118" i="12"/>
  <c r="W115" i="12"/>
  <c r="A115" i="12"/>
  <c r="V115" i="12" s="1"/>
  <c r="W114" i="12"/>
  <c r="A114" i="12"/>
  <c r="X110" i="12"/>
  <c r="W110" i="12"/>
  <c r="A110" i="12"/>
  <c r="W103" i="12"/>
  <c r="A103" i="12"/>
  <c r="V103" i="12" s="1"/>
  <c r="W102" i="12"/>
  <c r="A102" i="12"/>
  <c r="H102" i="12" s="1"/>
  <c r="W101" i="12"/>
  <c r="A101" i="12"/>
  <c r="H101" i="12" s="1"/>
  <c r="W100" i="12"/>
  <c r="A100" i="12"/>
  <c r="B100" i="12" s="1"/>
  <c r="W99" i="12"/>
  <c r="A99" i="12"/>
  <c r="V99" i="12" s="1"/>
  <c r="X98" i="12"/>
  <c r="O98" i="12" s="1"/>
  <c r="D98" i="13" s="1"/>
  <c r="W98" i="12"/>
  <c r="A98" i="12"/>
  <c r="W95" i="12"/>
  <c r="A95" i="12"/>
  <c r="V95" i="12" s="1"/>
  <c r="W93" i="12"/>
  <c r="A93" i="12"/>
  <c r="H93" i="12" s="1"/>
  <c r="W92" i="12"/>
  <c r="A92" i="12"/>
  <c r="I92" i="12" s="1"/>
  <c r="X91" i="12"/>
  <c r="Y91" i="12" s="1"/>
  <c r="W91" i="12"/>
  <c r="A91" i="12"/>
  <c r="W90" i="12"/>
  <c r="A90" i="12"/>
  <c r="I90" i="12" s="1"/>
  <c r="W88" i="12"/>
  <c r="A88" i="12"/>
  <c r="H88" i="12" s="1"/>
  <c r="X87" i="12"/>
  <c r="W87" i="12"/>
  <c r="A87" i="12"/>
  <c r="W85" i="12"/>
  <c r="A85" i="12"/>
  <c r="H85" i="12" s="1"/>
  <c r="W84" i="12"/>
  <c r="A84" i="12"/>
  <c r="V84" i="12" s="1"/>
  <c r="W83" i="12"/>
  <c r="A83" i="12"/>
  <c r="V83" i="12" s="1"/>
  <c r="X81" i="12"/>
  <c r="W81" i="12"/>
  <c r="A81" i="12"/>
  <c r="X80" i="12"/>
  <c r="Y80" i="12" s="1"/>
  <c r="W80" i="12"/>
  <c r="A80" i="12"/>
  <c r="W71" i="12"/>
  <c r="A71" i="12"/>
  <c r="W70" i="12"/>
  <c r="A70" i="12"/>
  <c r="V70" i="12" s="1"/>
  <c r="X64" i="12"/>
  <c r="W64" i="12"/>
  <c r="A64" i="12"/>
  <c r="W55" i="12"/>
  <c r="A55" i="12"/>
  <c r="V55" i="12" s="1"/>
  <c r="W54" i="12"/>
  <c r="A54" i="12"/>
  <c r="I54" i="12" s="1"/>
  <c r="W53" i="12"/>
  <c r="A53" i="12"/>
  <c r="W52" i="12"/>
  <c r="A52" i="12"/>
  <c r="V52" i="12" s="1"/>
  <c r="W51" i="12"/>
  <c r="A51" i="12"/>
  <c r="H51" i="12" s="1"/>
  <c r="X50" i="12"/>
  <c r="O50" i="12" s="1"/>
  <c r="D50" i="13" s="1"/>
  <c r="W50" i="12"/>
  <c r="A50" i="12"/>
  <c r="W48" i="12"/>
  <c r="A48" i="12"/>
  <c r="B48" i="12" s="1"/>
  <c r="W46" i="12"/>
  <c r="A46" i="12"/>
  <c r="I46" i="12" s="1"/>
  <c r="W45" i="12"/>
  <c r="A45" i="12"/>
  <c r="V45" i="12" s="1"/>
  <c r="X44" i="12"/>
  <c r="W44" i="12"/>
  <c r="A44" i="12"/>
  <c r="W43" i="12"/>
  <c r="A43" i="12"/>
  <c r="B43" i="12" s="1"/>
  <c r="W41" i="12"/>
  <c r="A41" i="12"/>
  <c r="H41" i="12" s="1"/>
  <c r="X40" i="12"/>
  <c r="Y40" i="12" s="1"/>
  <c r="W40" i="12"/>
  <c r="A40" i="12"/>
  <c r="W38" i="12"/>
  <c r="A38" i="12"/>
  <c r="H38" i="12" s="1"/>
  <c r="W36" i="12"/>
  <c r="A36" i="12"/>
  <c r="W32" i="12"/>
  <c r="A32" i="12"/>
  <c r="H32" i="12" s="1"/>
  <c r="X30" i="12"/>
  <c r="W30" i="12"/>
  <c r="A30" i="12"/>
  <c r="W14" i="12"/>
  <c r="A14" i="12"/>
  <c r="H14" i="12" s="1"/>
  <c r="V27" i="12" l="1"/>
  <c r="E82" i="13"/>
  <c r="B82" i="12"/>
  <c r="V85" i="12"/>
  <c r="H82" i="12"/>
  <c r="V82" i="12"/>
  <c r="E27" i="13"/>
  <c r="H100" i="12"/>
  <c r="H55" i="12"/>
  <c r="H43" i="12"/>
  <c r="B88" i="12"/>
  <c r="B95" i="12"/>
  <c r="B115" i="12"/>
  <c r="H121" i="12"/>
  <c r="H115" i="12"/>
  <c r="V20" i="12"/>
  <c r="B122" i="12"/>
  <c r="B133" i="12"/>
  <c r="B55" i="12"/>
  <c r="C25" i="13"/>
  <c r="O25" i="12"/>
  <c r="D25" i="13" s="1"/>
  <c r="E28" i="13"/>
  <c r="B28" i="12"/>
  <c r="I27" i="12"/>
  <c r="I28" i="12"/>
  <c r="B27" i="12"/>
  <c r="H28" i="12"/>
  <c r="H54" i="12"/>
  <c r="B92" i="12"/>
  <c r="H122" i="12"/>
  <c r="H16" i="12"/>
  <c r="V120" i="12"/>
  <c r="I122" i="12"/>
  <c r="B52" i="12"/>
  <c r="I70" i="12"/>
  <c r="H90" i="12"/>
  <c r="I85" i="12"/>
  <c r="I101" i="12"/>
  <c r="E21" i="13"/>
  <c r="E22" i="13"/>
  <c r="H22" i="12"/>
  <c r="V22" i="12"/>
  <c r="I22" i="12"/>
  <c r="B22" i="12"/>
  <c r="H21" i="12"/>
  <c r="V21" i="12"/>
  <c r="I21" i="12"/>
  <c r="B21" i="12"/>
  <c r="E38" i="13"/>
  <c r="E70" i="13"/>
  <c r="E84" i="13"/>
  <c r="E95" i="13"/>
  <c r="E121" i="13"/>
  <c r="E19" i="13"/>
  <c r="B14" i="12"/>
  <c r="I95" i="12"/>
  <c r="H103" i="12"/>
  <c r="H133" i="12"/>
  <c r="B99" i="12"/>
  <c r="I103" i="12"/>
  <c r="B121" i="12"/>
  <c r="H99" i="12"/>
  <c r="B123" i="12"/>
  <c r="B132" i="12"/>
  <c r="H46" i="12"/>
  <c r="H83" i="12"/>
  <c r="B120" i="12"/>
  <c r="H123" i="12"/>
  <c r="I126" i="12"/>
  <c r="H132" i="12"/>
  <c r="B85" i="12"/>
  <c r="E20" i="13"/>
  <c r="E129" i="13"/>
  <c r="E16" i="13"/>
  <c r="E17" i="13"/>
  <c r="B17" i="12"/>
  <c r="B19" i="12"/>
  <c r="I17" i="12"/>
  <c r="I16" i="12"/>
  <c r="I20" i="12"/>
  <c r="I19" i="12"/>
  <c r="B16" i="12"/>
  <c r="B20" i="12"/>
  <c r="H17" i="12"/>
  <c r="H19" i="12"/>
  <c r="E71" i="13"/>
  <c r="E114" i="13"/>
  <c r="E122" i="13"/>
  <c r="E131" i="13"/>
  <c r="E41" i="13"/>
  <c r="E52" i="13"/>
  <c r="E87" i="13"/>
  <c r="E99" i="13"/>
  <c r="E124" i="13"/>
  <c r="E133" i="13"/>
  <c r="E98" i="13"/>
  <c r="E115" i="13"/>
  <c r="O31" i="12"/>
  <c r="D31" i="13" s="1"/>
  <c r="E48" i="13"/>
  <c r="E64" i="13"/>
  <c r="E83" i="13"/>
  <c r="E103" i="13"/>
  <c r="E120" i="13"/>
  <c r="E128" i="13"/>
  <c r="E36" i="13"/>
  <c r="E55" i="13"/>
  <c r="E90" i="13"/>
  <c r="E93" i="13"/>
  <c r="E102" i="13"/>
  <c r="E119" i="13"/>
  <c r="E127" i="13"/>
  <c r="E92" i="13"/>
  <c r="E101" i="13"/>
  <c r="E118" i="13"/>
  <c r="E126" i="13"/>
  <c r="O80" i="12"/>
  <c r="D80" i="13" s="1"/>
  <c r="C91" i="13"/>
  <c r="O118" i="12"/>
  <c r="D118" i="13" s="1"/>
  <c r="Y98" i="12"/>
  <c r="O131" i="12"/>
  <c r="D131" i="13" s="1"/>
  <c r="Y50" i="12"/>
  <c r="O110" i="12"/>
  <c r="D110" i="13" s="1"/>
  <c r="C64" i="13"/>
  <c r="H36" i="12"/>
  <c r="B36" i="12"/>
  <c r="C44" i="13"/>
  <c r="I36" i="12"/>
  <c r="C30" i="13"/>
  <c r="O30" i="12"/>
  <c r="D30" i="13" s="1"/>
  <c r="Y30" i="12"/>
  <c r="B71" i="12"/>
  <c r="H71" i="12"/>
  <c r="V71" i="12"/>
  <c r="I71" i="12"/>
  <c r="H53" i="12"/>
  <c r="I53" i="12"/>
  <c r="B53" i="12"/>
  <c r="V53" i="12"/>
  <c r="V36" i="12"/>
  <c r="I38" i="12"/>
  <c r="B41" i="12"/>
  <c r="Y81" i="12"/>
  <c r="O81" i="12"/>
  <c r="D81" i="13" s="1"/>
  <c r="Y87" i="12"/>
  <c r="I41" i="12"/>
  <c r="I43" i="12"/>
  <c r="V43" i="12"/>
  <c r="I45" i="12"/>
  <c r="V38" i="12"/>
  <c r="I32" i="12"/>
  <c r="V32" i="12"/>
  <c r="B38" i="12"/>
  <c r="I14" i="12"/>
  <c r="V14" i="12"/>
  <c r="B32" i="12"/>
  <c r="O87" i="12"/>
  <c r="D87" i="13" s="1"/>
  <c r="C110" i="13"/>
  <c r="Y44" i="12"/>
  <c r="O44" i="12"/>
  <c r="D44" i="13" s="1"/>
  <c r="B46" i="12"/>
  <c r="H45" i="12"/>
  <c r="B54" i="12"/>
  <c r="V54" i="12"/>
  <c r="H70" i="12"/>
  <c r="V41" i="12"/>
  <c r="Y64" i="12"/>
  <c r="O64" i="12"/>
  <c r="D64" i="13" s="1"/>
  <c r="O40" i="12"/>
  <c r="D40" i="13" s="1"/>
  <c r="B45" i="12"/>
  <c r="V46" i="12"/>
  <c r="B70" i="12"/>
  <c r="H84" i="12"/>
  <c r="B84" i="12"/>
  <c r="I84" i="12"/>
  <c r="H48" i="12"/>
  <c r="I51" i="12"/>
  <c r="V51" i="12"/>
  <c r="I83" i="12"/>
  <c r="H92" i="12"/>
  <c r="I114" i="12"/>
  <c r="H114" i="12"/>
  <c r="V114" i="12"/>
  <c r="E45" i="13"/>
  <c r="I48" i="12"/>
  <c r="V48" i="12"/>
  <c r="B51" i="12"/>
  <c r="B114" i="12"/>
  <c r="B83" i="12"/>
  <c r="B90" i="12"/>
  <c r="V90" i="12"/>
  <c r="H95" i="12"/>
  <c r="B119" i="12"/>
  <c r="I119" i="12"/>
  <c r="H119" i="12"/>
  <c r="V119" i="12"/>
  <c r="V101" i="12"/>
  <c r="H52" i="12"/>
  <c r="I55" i="12"/>
  <c r="B101" i="12"/>
  <c r="E53" i="13"/>
  <c r="I52" i="12"/>
  <c r="V92" i="12"/>
  <c r="H128" i="12"/>
  <c r="E125" i="13"/>
  <c r="B125" i="12"/>
  <c r="B128" i="12"/>
  <c r="V128" i="12"/>
  <c r="E30" i="13"/>
  <c r="I88" i="12"/>
  <c r="V88" i="12"/>
  <c r="I100" i="12"/>
  <c r="V100" i="12"/>
  <c r="B103" i="12"/>
  <c r="V125" i="12"/>
  <c r="E100" i="13"/>
  <c r="H127" i="12"/>
  <c r="B127" i="12"/>
  <c r="E91" i="13"/>
  <c r="I93" i="12"/>
  <c r="V93" i="12"/>
  <c r="I102" i="12"/>
  <c r="V102" i="12"/>
  <c r="Y110" i="12"/>
  <c r="H125" i="12"/>
  <c r="V127" i="12"/>
  <c r="I128" i="12"/>
  <c r="E88" i="13"/>
  <c r="O91" i="12"/>
  <c r="D91" i="13" s="1"/>
  <c r="B93" i="12"/>
  <c r="I99" i="12"/>
  <c r="B102" i="12"/>
  <c r="H120" i="12"/>
  <c r="I125" i="12"/>
  <c r="B126" i="12"/>
  <c r="H126" i="12"/>
  <c r="E80" i="13"/>
  <c r="I124" i="12"/>
  <c r="V124" i="12"/>
  <c r="H129" i="12"/>
  <c r="I133" i="12"/>
  <c r="E32" i="13"/>
  <c r="E43" i="13"/>
  <c r="E46" i="13"/>
  <c r="E54" i="13"/>
  <c r="E81" i="13"/>
  <c r="I121" i="12"/>
  <c r="B124" i="12"/>
  <c r="I129" i="12"/>
  <c r="V129" i="12"/>
  <c r="E14" i="13"/>
  <c r="E40" i="13"/>
  <c r="E51" i="13"/>
  <c r="E85" i="13"/>
  <c r="E123" i="13"/>
  <c r="E132" i="13"/>
  <c r="I115" i="12"/>
  <c r="I123" i="12"/>
  <c r="I132" i="12"/>
  <c r="C50" i="13" l="1"/>
  <c r="C131" i="13"/>
  <c r="C118" i="13"/>
  <c r="C80" i="13"/>
  <c r="C87" i="13"/>
  <c r="C98" i="13"/>
  <c r="C81" i="13"/>
  <c r="C40" i="13"/>
  <c r="E7" i="13" l="1"/>
  <c r="P9" i="12"/>
  <c r="F10" i="13"/>
  <c r="G10" i="13" s="1"/>
  <c r="H10" i="13" s="1"/>
  <c r="I10" i="13" s="1"/>
  <c r="J10" i="13" s="1"/>
  <c r="K10" i="13" s="1"/>
  <c r="L10" i="13" s="1"/>
  <c r="M10" i="13" s="1"/>
  <c r="N10" i="13" s="1"/>
  <c r="O10" i="13" s="1"/>
  <c r="U10" i="13"/>
  <c r="AC9" i="11"/>
  <c r="AC10" i="11" s="1"/>
  <c r="K142" i="12"/>
  <c r="X13" i="12"/>
  <c r="W13" i="12"/>
  <c r="N24" i="17"/>
  <c r="N26" i="17" s="1"/>
  <c r="Q224" i="16"/>
  <c r="Q223" i="16"/>
  <c r="P2" i="11"/>
  <c r="A20" i="11"/>
  <c r="A23" i="11" s="1"/>
  <c r="Q10" i="12"/>
  <c r="Q11" i="17"/>
  <c r="N25" i="17" s="1"/>
  <c r="N8" i="11"/>
  <c r="O9" i="11"/>
  <c r="P9" i="11" s="1"/>
  <c r="Q9" i="11" s="1"/>
  <c r="R9" i="11" s="1"/>
  <c r="S9" i="11" s="1"/>
  <c r="T9" i="11" s="1"/>
  <c r="U9" i="11" s="1"/>
  <c r="V9" i="11" s="1"/>
  <c r="W9" i="11" s="1"/>
  <c r="O10" i="11"/>
  <c r="A13" i="11"/>
  <c r="K13" i="11" s="1"/>
  <c r="N11" i="11" s="1"/>
  <c r="D17" i="11"/>
  <c r="L68" i="11"/>
  <c r="K148" i="12"/>
  <c r="A11" i="13"/>
  <c r="E11" i="13" s="1"/>
  <c r="X11" i="12"/>
  <c r="J12" i="12"/>
  <c r="A12" i="13" s="1"/>
  <c r="N12" i="12"/>
  <c r="C12" i="13" s="1"/>
  <c r="A13" i="13"/>
  <c r="E13" i="13" s="1"/>
  <c r="K145" i="12"/>
  <c r="I42" i="17" s="1"/>
  <c r="N2" i="12"/>
  <c r="Y10" i="12"/>
  <c r="Z10" i="12"/>
  <c r="A11" i="12"/>
  <c r="B11" i="12" s="1"/>
  <c r="W11" i="12"/>
  <c r="A13" i="12"/>
  <c r="G13" i="12" s="1"/>
  <c r="G14" i="12" s="1"/>
  <c r="G15" i="12" s="1"/>
  <c r="N1" i="17"/>
  <c r="C2" i="17"/>
  <c r="A3" i="17"/>
  <c r="C3" i="17" s="1"/>
  <c r="I5" i="17"/>
  <c r="K5" i="17"/>
  <c r="C8" i="17"/>
  <c r="I8" i="17"/>
  <c r="C9" i="17"/>
  <c r="C10" i="17"/>
  <c r="C11" i="17"/>
  <c r="C12" i="17"/>
  <c r="C13" i="17"/>
  <c r="C14" i="17"/>
  <c r="A15" i="17"/>
  <c r="A17" i="17" s="1"/>
  <c r="C15" i="17"/>
  <c r="I18" i="17"/>
  <c r="M18" i="17"/>
  <c r="I19" i="17"/>
  <c r="M19" i="17"/>
  <c r="I20" i="17"/>
  <c r="M20" i="17"/>
  <c r="C21" i="17"/>
  <c r="I21" i="17"/>
  <c r="M21" i="17"/>
  <c r="A22" i="17"/>
  <c r="C22" i="17" s="1"/>
  <c r="I22" i="17"/>
  <c r="M22" i="17"/>
  <c r="C27" i="17"/>
  <c r="A28" i="17"/>
  <c r="C28" i="17" s="1"/>
  <c r="I29" i="17"/>
  <c r="M32" i="17"/>
  <c r="I35" i="17"/>
  <c r="C38" i="17"/>
  <c r="A39" i="17"/>
  <c r="C39" i="17" s="1"/>
  <c r="C44" i="17"/>
  <c r="A45" i="17"/>
  <c r="A46" i="17" s="1"/>
  <c r="A47" i="17" s="1"/>
  <c r="A48" i="17" s="1"/>
  <c r="C45" i="17"/>
  <c r="J47" i="17"/>
  <c r="J48" i="17"/>
  <c r="J49" i="17"/>
  <c r="J50" i="17"/>
  <c r="A55" i="16"/>
  <c r="G55" i="16" s="1"/>
  <c r="A56" i="16"/>
  <c r="A57" i="16"/>
  <c r="I50" i="17"/>
  <c r="A220" i="16"/>
  <c r="C220" i="16"/>
  <c r="F220" i="16"/>
  <c r="J220" i="16"/>
  <c r="A221" i="16"/>
  <c r="C221" i="16"/>
  <c r="F221" i="16"/>
  <c r="J221" i="16"/>
  <c r="L221" i="16"/>
  <c r="N221" i="16"/>
  <c r="A223" i="16"/>
  <c r="G223" i="16"/>
  <c r="K223" i="16"/>
  <c r="P220" i="16"/>
  <c r="A224" i="16"/>
  <c r="G224" i="16"/>
  <c r="H224" i="16"/>
  <c r="J224" i="16"/>
  <c r="K224" i="16"/>
  <c r="P221" i="16"/>
  <c r="A226" i="16"/>
  <c r="C226" i="16"/>
  <c r="D226" i="16"/>
  <c r="G226" i="16"/>
  <c r="T226" i="16"/>
  <c r="U226" i="16"/>
  <c r="V226" i="16"/>
  <c r="W226" i="16"/>
  <c r="X226" i="16"/>
  <c r="A227" i="16"/>
  <c r="C227" i="16"/>
  <c r="D227" i="16"/>
  <c r="E227" i="16"/>
  <c r="F227" i="16"/>
  <c r="G227" i="16"/>
  <c r="H227" i="16"/>
  <c r="I227" i="16"/>
  <c r="J227" i="16"/>
  <c r="K227" i="16"/>
  <c r="L227" i="16"/>
  <c r="M227" i="16"/>
  <c r="N227" i="16"/>
  <c r="O227" i="16"/>
  <c r="P227" i="16"/>
  <c r="Q227" i="16"/>
  <c r="R227" i="16"/>
  <c r="S227" i="16"/>
  <c r="A230" i="16"/>
  <c r="C230" i="16"/>
  <c r="E230" i="16"/>
  <c r="G230" i="16"/>
  <c r="H230" i="16"/>
  <c r="I230" i="16"/>
  <c r="J230" i="16"/>
  <c r="K230" i="16"/>
  <c r="M230" i="16"/>
  <c r="N230" i="16"/>
  <c r="O230" i="16"/>
  <c r="Q230" i="16"/>
  <c r="S230" i="16"/>
  <c r="U230" i="16"/>
  <c r="W230" i="16"/>
  <c r="G57" i="16"/>
  <c r="A23" i="17"/>
  <c r="A24" i="17" s="1"/>
  <c r="A4" i="17"/>
  <c r="C4" i="17" s="1"/>
  <c r="I37" i="17"/>
  <c r="C23" i="17"/>
  <c r="D13" i="13"/>
  <c r="W38" i="16"/>
  <c r="U38" i="16"/>
  <c r="X38" i="16"/>
  <c r="V38" i="16"/>
  <c r="O11" i="12" l="1"/>
  <c r="D11" i="13" s="1"/>
  <c r="Y13" i="12"/>
  <c r="G30" i="12"/>
  <c r="G16" i="12"/>
  <c r="G17" i="12" s="1"/>
  <c r="G18" i="12" s="1"/>
  <c r="G31" i="12"/>
  <c r="G32" i="12" s="1"/>
  <c r="V13" i="12"/>
  <c r="V25" i="12" s="1"/>
  <c r="F13" i="12"/>
  <c r="F14" i="12" s="1"/>
  <c r="F15" i="12" s="1"/>
  <c r="E11" i="12"/>
  <c r="L71" i="11"/>
  <c r="H11" i="12"/>
  <c r="D11" i="12"/>
  <c r="G11" i="12"/>
  <c r="F11" i="12"/>
  <c r="I11" i="12"/>
  <c r="A26" i="11"/>
  <c r="A18" i="17"/>
  <c r="C17" i="17"/>
  <c r="C13" i="12"/>
  <c r="C14" i="12" s="1"/>
  <c r="S13" i="12"/>
  <c r="E13" i="12"/>
  <c r="E14" i="12" s="1"/>
  <c r="E15" i="12" s="1"/>
  <c r="A5" i="17"/>
  <c r="D13" i="12"/>
  <c r="D14" i="12" s="1"/>
  <c r="D15" i="12" s="1"/>
  <c r="C13" i="11"/>
  <c r="F13" i="11" s="1"/>
  <c r="M11" i="11"/>
  <c r="U12" i="12"/>
  <c r="C11" i="12"/>
  <c r="B136" i="13"/>
  <c r="A5" i="12"/>
  <c r="L32" i="17"/>
  <c r="B139" i="13"/>
  <c r="O27" i="17"/>
  <c r="M33" i="17"/>
  <c r="O42" i="17"/>
  <c r="L11" i="11"/>
  <c r="N11" i="12"/>
  <c r="S111" i="16"/>
  <c r="W227" i="16"/>
  <c r="S110" i="16"/>
  <c r="V227" i="16"/>
  <c r="X227" i="16"/>
  <c r="S112" i="16"/>
  <c r="S109" i="16"/>
  <c r="U227" i="16"/>
  <c r="A49" i="17"/>
  <c r="C49" i="17" s="1"/>
  <c r="C48" i="17"/>
  <c r="C46" i="17"/>
  <c r="I49" i="17"/>
  <c r="G56" i="16"/>
  <c r="C24" i="17"/>
  <c r="A25" i="17"/>
  <c r="C13" i="13"/>
  <c r="O25" i="17"/>
  <c r="N27" i="17"/>
  <c r="C47" i="17"/>
  <c r="P10" i="11"/>
  <c r="R10" i="11" s="1"/>
  <c r="T10" i="11" s="1"/>
  <c r="V10" i="11" s="1"/>
  <c r="C18" i="17"/>
  <c r="A19" i="17"/>
  <c r="Q10" i="11"/>
  <c r="S10" i="11" s="1"/>
  <c r="U10" i="11" s="1"/>
  <c r="W10" i="11" s="1"/>
  <c r="A29" i="17"/>
  <c r="Y11" i="12"/>
  <c r="V11" i="12"/>
  <c r="A40" i="17"/>
  <c r="T38" i="16"/>
  <c r="Z130" i="12" l="1"/>
  <c r="S130" i="12" s="1"/>
  <c r="T130" i="12" s="1"/>
  <c r="U130" i="12" s="1"/>
  <c r="Z109" i="12"/>
  <c r="S109" i="12" s="1"/>
  <c r="T109" i="12" s="1"/>
  <c r="U109" i="12" s="1"/>
  <c r="Z61" i="12"/>
  <c r="S61" i="12" s="1"/>
  <c r="T61" i="12" s="1"/>
  <c r="U61" i="12" s="1"/>
  <c r="Z62" i="12"/>
  <c r="S62" i="12" s="1"/>
  <c r="T62" i="12" s="1"/>
  <c r="U62" i="12" s="1"/>
  <c r="Z63" i="12"/>
  <c r="S63" i="12" s="1"/>
  <c r="T63" i="12" s="1"/>
  <c r="U63" i="12" s="1"/>
  <c r="Z60" i="12"/>
  <c r="S60" i="12" s="1"/>
  <c r="T60" i="12" s="1"/>
  <c r="U60" i="12" s="1"/>
  <c r="Z108" i="12"/>
  <c r="S108" i="12" s="1"/>
  <c r="T108" i="12" s="1"/>
  <c r="U108" i="12" s="1"/>
  <c r="Z97" i="12"/>
  <c r="S97" i="12" s="1"/>
  <c r="T97" i="12" s="1"/>
  <c r="U97" i="12" s="1"/>
  <c r="Z94" i="12"/>
  <c r="S94" i="12" s="1"/>
  <c r="T94" i="12" s="1"/>
  <c r="Z47" i="12"/>
  <c r="S47" i="12" s="1"/>
  <c r="T47" i="12" s="1"/>
  <c r="Z79" i="12"/>
  <c r="S79" i="12" s="1"/>
  <c r="T79" i="12" s="1"/>
  <c r="Z78" i="12"/>
  <c r="S78" i="12" s="1"/>
  <c r="T78" i="12" s="1"/>
  <c r="Z77" i="12"/>
  <c r="S77" i="12" s="1"/>
  <c r="T77" i="12" s="1"/>
  <c r="Z107" i="12"/>
  <c r="S107" i="12" s="1"/>
  <c r="T107" i="12" s="1"/>
  <c r="Z59" i="12"/>
  <c r="S59" i="12" s="1"/>
  <c r="T59" i="12" s="1"/>
  <c r="Z23" i="12"/>
  <c r="S23" i="12" s="1"/>
  <c r="T23" i="12" s="1"/>
  <c r="Z24" i="12"/>
  <c r="S24" i="12" s="1"/>
  <c r="T24" i="12" s="1"/>
  <c r="Z66" i="12"/>
  <c r="S66" i="12" s="1"/>
  <c r="T66" i="12" s="1"/>
  <c r="Z89" i="12"/>
  <c r="S89" i="12" s="1"/>
  <c r="T89" i="12" s="1"/>
  <c r="Z86" i="12"/>
  <c r="S86" i="12" s="1"/>
  <c r="T86" i="12" s="1"/>
  <c r="Z39" i="12"/>
  <c r="S39" i="12" s="1"/>
  <c r="T39" i="12" s="1"/>
  <c r="Z74" i="12"/>
  <c r="S74" i="12" s="1"/>
  <c r="T74" i="12" s="1"/>
  <c r="Z113" i="12"/>
  <c r="S113" i="12" s="1"/>
  <c r="T113" i="12" s="1"/>
  <c r="Z111" i="12"/>
  <c r="S111" i="12" s="1"/>
  <c r="T111" i="12" s="1"/>
  <c r="Z112" i="12"/>
  <c r="S112" i="12" s="1"/>
  <c r="T112" i="12" s="1"/>
  <c r="Z116" i="12"/>
  <c r="S116" i="12" s="1"/>
  <c r="T116" i="12" s="1"/>
  <c r="Z117" i="12"/>
  <c r="S117" i="12" s="1"/>
  <c r="T117" i="12" s="1"/>
  <c r="Z73" i="12"/>
  <c r="S73" i="12" s="1"/>
  <c r="T73" i="12" s="1"/>
  <c r="Z72" i="12"/>
  <c r="S72" i="12" s="1"/>
  <c r="T72" i="12" s="1"/>
  <c r="Z69" i="12"/>
  <c r="S69" i="12" s="1"/>
  <c r="T69" i="12" s="1"/>
  <c r="Z68" i="12"/>
  <c r="S68" i="12" s="1"/>
  <c r="T68" i="12" s="1"/>
  <c r="Z67" i="12"/>
  <c r="S67" i="12" s="1"/>
  <c r="T67" i="12" s="1"/>
  <c r="Z65" i="12"/>
  <c r="S65" i="12" s="1"/>
  <c r="T65" i="12" s="1"/>
  <c r="Z76" i="12"/>
  <c r="S76" i="12" s="1"/>
  <c r="T76" i="12" s="1"/>
  <c r="Z75" i="12"/>
  <c r="S75" i="12" s="1"/>
  <c r="T75" i="12" s="1"/>
  <c r="Z58" i="12"/>
  <c r="S58" i="12" s="1"/>
  <c r="T58" i="12" s="1"/>
  <c r="Z56" i="12"/>
  <c r="S56" i="12" s="1"/>
  <c r="T56" i="12" s="1"/>
  <c r="Z57" i="12"/>
  <c r="S57" i="12" s="1"/>
  <c r="T57" i="12" s="1"/>
  <c r="Z106" i="12"/>
  <c r="S106" i="12" s="1"/>
  <c r="T106" i="12" s="1"/>
  <c r="Z105" i="12"/>
  <c r="S105" i="12" s="1"/>
  <c r="T105" i="12" s="1"/>
  <c r="Z104" i="12"/>
  <c r="S104" i="12" s="1"/>
  <c r="T104" i="12" s="1"/>
  <c r="Z96" i="12"/>
  <c r="S96" i="12" s="1"/>
  <c r="T96" i="12" s="1"/>
  <c r="Z49" i="12"/>
  <c r="S49" i="12" s="1"/>
  <c r="T49" i="12" s="1"/>
  <c r="Z42" i="12"/>
  <c r="S42" i="12" s="1"/>
  <c r="T42" i="12" s="1"/>
  <c r="Z37" i="12"/>
  <c r="S37" i="12" s="1"/>
  <c r="T37" i="12" s="1"/>
  <c r="Z29" i="12"/>
  <c r="S29" i="12" s="1"/>
  <c r="T29" i="12" s="1"/>
  <c r="Z26" i="12"/>
  <c r="S26" i="12" s="1"/>
  <c r="T26" i="12" s="1"/>
  <c r="Z18" i="12"/>
  <c r="S18" i="12" s="1"/>
  <c r="T18" i="12" s="1"/>
  <c r="Z15" i="12"/>
  <c r="S15" i="12" s="1"/>
  <c r="T15" i="12" s="1"/>
  <c r="Z34" i="12"/>
  <c r="S34" i="12" s="1"/>
  <c r="T34" i="12" s="1"/>
  <c r="Z33" i="12"/>
  <c r="S33" i="12" s="1"/>
  <c r="T33" i="12" s="1"/>
  <c r="Z35" i="12"/>
  <c r="S35" i="12" s="1"/>
  <c r="T35" i="12" s="1"/>
  <c r="G33" i="12"/>
  <c r="Z82" i="12"/>
  <c r="S82" i="12" s="1"/>
  <c r="T82" i="12" s="1"/>
  <c r="Z27" i="12"/>
  <c r="S27" i="12" s="1"/>
  <c r="T27" i="12" s="1"/>
  <c r="Z25" i="12"/>
  <c r="S25" i="12" s="1"/>
  <c r="Z28" i="12"/>
  <c r="S28" i="12" s="1"/>
  <c r="T28" i="12" s="1"/>
  <c r="G19" i="12"/>
  <c r="G20" i="12" s="1"/>
  <c r="G21" i="12" s="1"/>
  <c r="G22" i="12" s="1"/>
  <c r="Z22" i="12"/>
  <c r="S22" i="12" s="1"/>
  <c r="T22" i="12" s="1"/>
  <c r="Z21" i="12"/>
  <c r="S21" i="12" s="1"/>
  <c r="T21" i="12" s="1"/>
  <c r="Z20" i="12"/>
  <c r="S20" i="12" s="1"/>
  <c r="T20" i="12" s="1"/>
  <c r="Z16" i="12"/>
  <c r="S16" i="12" s="1"/>
  <c r="T16" i="12" s="1"/>
  <c r="Z19" i="12"/>
  <c r="S19" i="12" s="1"/>
  <c r="T19" i="12" s="1"/>
  <c r="Z17" i="12"/>
  <c r="S17" i="12" s="1"/>
  <c r="T17" i="12" s="1"/>
  <c r="D30" i="12"/>
  <c r="D16" i="12"/>
  <c r="D17" i="12" s="1"/>
  <c r="D18" i="12" s="1"/>
  <c r="F30" i="12"/>
  <c r="F16" i="12"/>
  <c r="F17" i="12" s="1"/>
  <c r="F18" i="12" s="1"/>
  <c r="E30" i="12"/>
  <c r="E16" i="12"/>
  <c r="E17" i="12" s="1"/>
  <c r="E18" i="12" s="1"/>
  <c r="Z31" i="12"/>
  <c r="S31" i="12" s="1"/>
  <c r="F31" i="12"/>
  <c r="F32" i="12" s="1"/>
  <c r="D31" i="12"/>
  <c r="E31" i="12"/>
  <c r="E32" i="12" s="1"/>
  <c r="V30" i="12"/>
  <c r="Z126" i="12"/>
  <c r="S126" i="12" s="1"/>
  <c r="T126" i="12" s="1"/>
  <c r="Z133" i="12"/>
  <c r="S133" i="12" s="1"/>
  <c r="T133" i="12" s="1"/>
  <c r="Z127" i="12"/>
  <c r="S127" i="12" s="1"/>
  <c r="T127" i="12" s="1"/>
  <c r="Z119" i="12"/>
  <c r="S119" i="12" s="1"/>
  <c r="T119" i="12" s="1"/>
  <c r="Z125" i="12"/>
  <c r="S125" i="12" s="1"/>
  <c r="T125" i="12" s="1"/>
  <c r="Z128" i="12"/>
  <c r="S128" i="12" s="1"/>
  <c r="T128" i="12" s="1"/>
  <c r="Z120" i="12"/>
  <c r="S120" i="12" s="1"/>
  <c r="T120" i="12" s="1"/>
  <c r="Z118" i="12"/>
  <c r="S118" i="12" s="1"/>
  <c r="Z110" i="12"/>
  <c r="S110" i="12" s="1"/>
  <c r="Z83" i="12"/>
  <c r="S83" i="12" s="1"/>
  <c r="T83" i="12" s="1"/>
  <c r="Z121" i="12"/>
  <c r="S121" i="12" s="1"/>
  <c r="T121" i="12" s="1"/>
  <c r="Z114" i="12"/>
  <c r="S114" i="12" s="1"/>
  <c r="T114" i="12" s="1"/>
  <c r="Z98" i="12"/>
  <c r="S98" i="12" s="1"/>
  <c r="Z132" i="12"/>
  <c r="S132" i="12" s="1"/>
  <c r="T132" i="12" s="1"/>
  <c r="Z115" i="12"/>
  <c r="S115" i="12" s="1"/>
  <c r="T115" i="12" s="1"/>
  <c r="Z103" i="12"/>
  <c r="S103" i="12" s="1"/>
  <c r="T103" i="12" s="1"/>
  <c r="Z122" i="12"/>
  <c r="S122" i="12" s="1"/>
  <c r="T122" i="12" s="1"/>
  <c r="Z95" i="12"/>
  <c r="S95" i="12" s="1"/>
  <c r="T95" i="12" s="1"/>
  <c r="Z84" i="12"/>
  <c r="S84" i="12" s="1"/>
  <c r="T84" i="12" s="1"/>
  <c r="Z129" i="12"/>
  <c r="S129" i="12" s="1"/>
  <c r="T129" i="12" s="1"/>
  <c r="Z123" i="12"/>
  <c r="S123" i="12" s="1"/>
  <c r="T123" i="12" s="1"/>
  <c r="Z99" i="12"/>
  <c r="S99" i="12" s="1"/>
  <c r="T99" i="12" s="1"/>
  <c r="Z87" i="12"/>
  <c r="S87" i="12" s="1"/>
  <c r="Z93" i="12"/>
  <c r="S93" i="12" s="1"/>
  <c r="T93" i="12" s="1"/>
  <c r="Z64" i="12"/>
  <c r="S64" i="12" s="1"/>
  <c r="Z91" i="12"/>
  <c r="S91" i="12" s="1"/>
  <c r="Z85" i="12"/>
  <c r="S85" i="12" s="1"/>
  <c r="T85" i="12" s="1"/>
  <c r="Z51" i="12"/>
  <c r="S51" i="12" s="1"/>
  <c r="T51" i="12" s="1"/>
  <c r="Z102" i="12"/>
  <c r="S102" i="12" s="1"/>
  <c r="T102" i="12" s="1"/>
  <c r="Z100" i="12"/>
  <c r="S100" i="12" s="1"/>
  <c r="T100" i="12" s="1"/>
  <c r="Z70" i="12"/>
  <c r="S70" i="12" s="1"/>
  <c r="T70" i="12" s="1"/>
  <c r="Z52" i="12"/>
  <c r="S52" i="12" s="1"/>
  <c r="T52" i="12" s="1"/>
  <c r="Z44" i="12"/>
  <c r="S44" i="12" s="1"/>
  <c r="Z124" i="12"/>
  <c r="S124" i="12" s="1"/>
  <c r="T124" i="12" s="1"/>
  <c r="Z92" i="12"/>
  <c r="S92" i="12" s="1"/>
  <c r="T92" i="12" s="1"/>
  <c r="Z81" i="12"/>
  <c r="S81" i="12" s="1"/>
  <c r="Z55" i="12"/>
  <c r="S55" i="12" s="1"/>
  <c r="T55" i="12" s="1"/>
  <c r="Z43" i="12"/>
  <c r="S43" i="12" s="1"/>
  <c r="T43" i="12" s="1"/>
  <c r="Z32" i="12"/>
  <c r="S32" i="12" s="1"/>
  <c r="T32" i="12" s="1"/>
  <c r="Z38" i="12"/>
  <c r="S38" i="12" s="1"/>
  <c r="T38" i="12" s="1"/>
  <c r="Z53" i="12"/>
  <c r="S53" i="12" s="1"/>
  <c r="T53" i="12" s="1"/>
  <c r="Z50" i="12"/>
  <c r="S50" i="12" s="1"/>
  <c r="Z41" i="12"/>
  <c r="S41" i="12" s="1"/>
  <c r="T41" i="12" s="1"/>
  <c r="Z90" i="12"/>
  <c r="S90" i="12" s="1"/>
  <c r="T90" i="12" s="1"/>
  <c r="Z45" i="12"/>
  <c r="S45" i="12" s="1"/>
  <c r="T45" i="12" s="1"/>
  <c r="Z36" i="12"/>
  <c r="S36" i="12" s="1"/>
  <c r="T36" i="12" s="1"/>
  <c r="Z88" i="12"/>
  <c r="S88" i="12" s="1"/>
  <c r="T88" i="12" s="1"/>
  <c r="Z101" i="12"/>
  <c r="S101" i="12" s="1"/>
  <c r="T101" i="12" s="1"/>
  <c r="Z80" i="12"/>
  <c r="S80" i="12" s="1"/>
  <c r="Z46" i="12"/>
  <c r="S46" i="12" s="1"/>
  <c r="T46" i="12" s="1"/>
  <c r="Z30" i="12"/>
  <c r="S30" i="12" s="1"/>
  <c r="Z131" i="12"/>
  <c r="S131" i="12" s="1"/>
  <c r="Z71" i="12"/>
  <c r="S71" i="12" s="1"/>
  <c r="T71" i="12" s="1"/>
  <c r="Z54" i="12"/>
  <c r="S54" i="12" s="1"/>
  <c r="T54" i="12" s="1"/>
  <c r="Z40" i="12"/>
  <c r="S40" i="12" s="1"/>
  <c r="Z14" i="12"/>
  <c r="S14" i="12" s="1"/>
  <c r="T14" i="12" s="1"/>
  <c r="Z48" i="12"/>
  <c r="S48" i="12" s="1"/>
  <c r="T48" i="12" s="1"/>
  <c r="K14" i="12"/>
  <c r="B14" i="13" s="1"/>
  <c r="M18" i="11"/>
  <c r="C20" i="11"/>
  <c r="G20" i="11" s="1"/>
  <c r="A29" i="11"/>
  <c r="H13" i="11"/>
  <c r="B13" i="11"/>
  <c r="Q12" i="11" s="1"/>
  <c r="G13" i="11"/>
  <c r="I13" i="11"/>
  <c r="E13" i="11"/>
  <c r="J13" i="11"/>
  <c r="K13" i="12"/>
  <c r="C5" i="17"/>
  <c r="A6" i="17"/>
  <c r="K11" i="12"/>
  <c r="U11" i="12"/>
  <c r="C11" i="13"/>
  <c r="Z11" i="12"/>
  <c r="S11" i="12" s="1"/>
  <c r="T11" i="12" s="1"/>
  <c r="S108" i="16"/>
  <c r="Z13" i="12"/>
  <c r="T227" i="16"/>
  <c r="C25" i="17"/>
  <c r="A26" i="17"/>
  <c r="C26" i="17" s="1"/>
  <c r="A32" i="17"/>
  <c r="C29" i="17"/>
  <c r="A41" i="17"/>
  <c r="C40" i="17"/>
  <c r="C19" i="17"/>
  <c r="A20" i="17"/>
  <c r="C20" i="17" s="1"/>
  <c r="G25" i="12" l="1"/>
  <c r="G26" i="12" s="1"/>
  <c r="G27" i="12" s="1"/>
  <c r="G28" i="12" s="1"/>
  <c r="G29" i="12" s="1"/>
  <c r="G23" i="12"/>
  <c r="G24" i="12" s="1"/>
  <c r="C15" i="12"/>
  <c r="K15" i="12" s="1"/>
  <c r="B15" i="13" s="1"/>
  <c r="G34" i="12"/>
  <c r="G35" i="12" s="1"/>
  <c r="G36" i="12" s="1"/>
  <c r="E33" i="12"/>
  <c r="F33" i="12"/>
  <c r="F19" i="12"/>
  <c r="F20" i="12" s="1"/>
  <c r="F21" i="12" s="1"/>
  <c r="F22" i="12" s="1"/>
  <c r="D19" i="12"/>
  <c r="D20" i="12" s="1"/>
  <c r="D21" i="12" s="1"/>
  <c r="D22" i="12" s="1"/>
  <c r="E19" i="12"/>
  <c r="E20" i="12" s="1"/>
  <c r="E21" i="12" s="1"/>
  <c r="E22" i="12" s="1"/>
  <c r="D32" i="12"/>
  <c r="D33" i="12" s="1"/>
  <c r="V31" i="12"/>
  <c r="M21" i="11"/>
  <c r="F20" i="11"/>
  <c r="E20" i="11"/>
  <c r="H20" i="11"/>
  <c r="B13" i="13"/>
  <c r="B11" i="13"/>
  <c r="C23" i="11"/>
  <c r="B20" i="11" s="1"/>
  <c r="AC18" i="11" s="1"/>
  <c r="AC19" i="11" s="1"/>
  <c r="A32" i="11"/>
  <c r="A35" i="11" s="1"/>
  <c r="W12" i="11"/>
  <c r="T13" i="11"/>
  <c r="P12" i="11"/>
  <c r="W11" i="11"/>
  <c r="T11" i="11"/>
  <c r="AC12" i="11"/>
  <c r="U13" i="11"/>
  <c r="AC13" i="11"/>
  <c r="P13" i="11"/>
  <c r="V12" i="11"/>
  <c r="R12" i="11"/>
  <c r="U12" i="11"/>
  <c r="S12" i="11"/>
  <c r="T12" i="11"/>
  <c r="S13" i="11"/>
  <c r="Q11" i="11"/>
  <c r="U11" i="11"/>
  <c r="W13" i="11"/>
  <c r="Q13" i="11"/>
  <c r="S11" i="11"/>
  <c r="AC11" i="11"/>
  <c r="V13" i="11"/>
  <c r="P11" i="11"/>
  <c r="V11" i="11"/>
  <c r="R13" i="11"/>
  <c r="R11" i="11"/>
  <c r="D13" i="11"/>
  <c r="L18" i="11"/>
  <c r="C6" i="17"/>
  <c r="Q21" i="17" s="1"/>
  <c r="A7" i="17"/>
  <c r="C7" i="17" s="1"/>
  <c r="R26" i="17" s="1"/>
  <c r="R22" i="17"/>
  <c r="Q22" i="17"/>
  <c r="R19" i="17"/>
  <c r="R20" i="17"/>
  <c r="P18" i="17"/>
  <c r="P19" i="17"/>
  <c r="Q18" i="17"/>
  <c r="Q20" i="17"/>
  <c r="P21" i="17"/>
  <c r="R18" i="17"/>
  <c r="Q19" i="17"/>
  <c r="R21" i="17"/>
  <c r="P22" i="17"/>
  <c r="P20" i="17"/>
  <c r="T12" i="12"/>
  <c r="N14" i="11" s="1"/>
  <c r="C41" i="17"/>
  <c r="A42" i="17"/>
  <c r="C32" i="17"/>
  <c r="A33" i="17"/>
  <c r="F25" i="12" l="1"/>
  <c r="F26" i="12" s="1"/>
  <c r="F27" i="12" s="1"/>
  <c r="F28" i="12" s="1"/>
  <c r="F29" i="12" s="1"/>
  <c r="F23" i="12"/>
  <c r="F24" i="12" s="1"/>
  <c r="E25" i="12"/>
  <c r="E26" i="12" s="1"/>
  <c r="E27" i="12" s="1"/>
  <c r="E28" i="12" s="1"/>
  <c r="E29" i="12" s="1"/>
  <c r="E23" i="12"/>
  <c r="E24" i="12" s="1"/>
  <c r="D25" i="12"/>
  <c r="D26" i="12" s="1"/>
  <c r="D27" i="12" s="1"/>
  <c r="D28" i="12" s="1"/>
  <c r="D29" i="12" s="1"/>
  <c r="D23" i="12"/>
  <c r="D24" i="12" s="1"/>
  <c r="G37" i="12"/>
  <c r="G38" i="12" s="1"/>
  <c r="C16" i="12"/>
  <c r="F34" i="12"/>
  <c r="F35" i="12" s="1"/>
  <c r="F36" i="12" s="1"/>
  <c r="E34" i="12"/>
  <c r="E35" i="12" s="1"/>
  <c r="E36" i="12" s="1"/>
  <c r="D34" i="12"/>
  <c r="D35" i="12" s="1"/>
  <c r="D36" i="12" s="1"/>
  <c r="V40" i="12"/>
  <c r="A38" i="11"/>
  <c r="A41" i="11" s="1"/>
  <c r="P19" i="11"/>
  <c r="M24" i="11"/>
  <c r="C26" i="11"/>
  <c r="H26" i="11" s="1"/>
  <c r="V18" i="11"/>
  <c r="U18" i="11"/>
  <c r="T18" i="11"/>
  <c r="W18" i="11"/>
  <c r="R18" i="11"/>
  <c r="S18" i="11"/>
  <c r="Q18" i="11"/>
  <c r="G23" i="11"/>
  <c r="H23" i="11"/>
  <c r="F23" i="11"/>
  <c r="E23" i="11"/>
  <c r="Q26" i="17"/>
  <c r="P26" i="17"/>
  <c r="O26" i="17" s="1"/>
  <c r="V27" i="17" s="1"/>
  <c r="T16" i="17" s="1"/>
  <c r="C33" i="17"/>
  <c r="A34" i="17"/>
  <c r="C34" i="17" s="1"/>
  <c r="C42" i="17"/>
  <c r="A43" i="17"/>
  <c r="C43" i="17" s="1"/>
  <c r="G40" i="12" l="1"/>
  <c r="G41" i="12" s="1"/>
  <c r="G42" i="12" s="1"/>
  <c r="G43" i="12" s="1"/>
  <c r="G44" i="12" s="1"/>
  <c r="G45" i="12" s="1"/>
  <c r="G46" i="12" s="1"/>
  <c r="G39" i="12"/>
  <c r="E37" i="12"/>
  <c r="E38" i="12" s="1"/>
  <c r="F37" i="12"/>
  <c r="F38" i="12" s="1"/>
  <c r="C17" i="12"/>
  <c r="C18" i="12" s="1"/>
  <c r="K18" i="12" s="1"/>
  <c r="B18" i="13" s="1"/>
  <c r="K16" i="12"/>
  <c r="B16" i="13" s="1"/>
  <c r="A44" i="11"/>
  <c r="M27" i="11"/>
  <c r="C29" i="11"/>
  <c r="G29" i="11" s="1"/>
  <c r="D37" i="12"/>
  <c r="G26" i="11"/>
  <c r="F26" i="11"/>
  <c r="B23" i="11"/>
  <c r="Q19" i="11"/>
  <c r="R19" i="11" s="1"/>
  <c r="S19" i="11" s="1"/>
  <c r="T19" i="11" s="1"/>
  <c r="E26" i="11"/>
  <c r="G47" i="12" l="1"/>
  <c r="G48" i="12" s="1"/>
  <c r="G49" i="12" s="1"/>
  <c r="F40" i="12"/>
  <c r="F41" i="12" s="1"/>
  <c r="F42" i="12" s="1"/>
  <c r="F43" i="12" s="1"/>
  <c r="F44" i="12" s="1"/>
  <c r="F45" i="12" s="1"/>
  <c r="F46" i="12" s="1"/>
  <c r="F39" i="12"/>
  <c r="E40" i="12"/>
  <c r="E41" i="12" s="1"/>
  <c r="E42" i="12" s="1"/>
  <c r="E43" i="12" s="1"/>
  <c r="E44" i="12" s="1"/>
  <c r="E45" i="12" s="1"/>
  <c r="E46" i="12" s="1"/>
  <c r="E39" i="12"/>
  <c r="G50" i="12"/>
  <c r="G51" i="12" s="1"/>
  <c r="G52" i="12" s="1"/>
  <c r="G53" i="12" s="1"/>
  <c r="G54" i="12" s="1"/>
  <c r="G55" i="12" s="1"/>
  <c r="K17" i="12"/>
  <c r="B17" i="13" s="1"/>
  <c r="A47" i="11"/>
  <c r="V44" i="12"/>
  <c r="C32" i="11"/>
  <c r="B29" i="11" s="1"/>
  <c r="AC27" i="11" s="1"/>
  <c r="AC28" i="11" s="1"/>
  <c r="M30" i="11"/>
  <c r="B26" i="11"/>
  <c r="E29" i="11"/>
  <c r="F29" i="11"/>
  <c r="H29" i="11"/>
  <c r="D38" i="12"/>
  <c r="U19" i="11"/>
  <c r="F47" i="12" l="1"/>
  <c r="F48" i="12" s="1"/>
  <c r="F49" i="12" s="1"/>
  <c r="E47" i="12"/>
  <c r="E48" i="12" s="1"/>
  <c r="E49" i="12" s="1"/>
  <c r="G64" i="12"/>
  <c r="G56" i="12"/>
  <c r="G57" i="12" s="1"/>
  <c r="G58" i="12" s="1"/>
  <c r="G59" i="12" s="1"/>
  <c r="G60" i="12" s="1"/>
  <c r="G98" i="12"/>
  <c r="G99" i="12" s="1"/>
  <c r="G100" i="12" s="1"/>
  <c r="G101" i="12" s="1"/>
  <c r="G102" i="12" s="1"/>
  <c r="G103" i="12" s="1"/>
  <c r="E50" i="12"/>
  <c r="E51" i="12" s="1"/>
  <c r="E52" i="12" s="1"/>
  <c r="E53" i="12" s="1"/>
  <c r="E54" i="12" s="1"/>
  <c r="E55" i="12" s="1"/>
  <c r="F50" i="12"/>
  <c r="F51" i="12" s="1"/>
  <c r="F52" i="12" s="1"/>
  <c r="F53" i="12" s="1"/>
  <c r="F54" i="12" s="1"/>
  <c r="F55" i="12" s="1"/>
  <c r="C19" i="12"/>
  <c r="A50" i="11"/>
  <c r="V50" i="12"/>
  <c r="M33" i="11"/>
  <c r="C35" i="11"/>
  <c r="E32" i="11"/>
  <c r="V27" i="11"/>
  <c r="U27" i="11"/>
  <c r="F32" i="11"/>
  <c r="H32" i="11"/>
  <c r="W27" i="11"/>
  <c r="P27" i="11"/>
  <c r="P28" i="11" s="1"/>
  <c r="Q28" i="11" s="1"/>
  <c r="R28" i="11" s="1"/>
  <c r="S28" i="11" s="1"/>
  <c r="G32" i="11"/>
  <c r="D39" i="12"/>
  <c r="V19" i="11"/>
  <c r="G61" i="12" l="1"/>
  <c r="G62" i="12" s="1"/>
  <c r="G63" i="12" s="1"/>
  <c r="G65" i="12"/>
  <c r="G66" i="12" s="1"/>
  <c r="G80" i="12"/>
  <c r="G81" i="12" s="1"/>
  <c r="G82" i="12" s="1"/>
  <c r="G83" i="12" s="1"/>
  <c r="G84" i="12" s="1"/>
  <c r="G85" i="12" s="1"/>
  <c r="E64" i="12"/>
  <c r="E56" i="12"/>
  <c r="E57" i="12" s="1"/>
  <c r="E58" i="12" s="1"/>
  <c r="E59" i="12" s="1"/>
  <c r="E60" i="12" s="1"/>
  <c r="F64" i="12"/>
  <c r="F56" i="12"/>
  <c r="F57" i="12" s="1"/>
  <c r="F58" i="12" s="1"/>
  <c r="F59" i="12" s="1"/>
  <c r="F60" i="12" s="1"/>
  <c r="G110" i="12"/>
  <c r="G104" i="12"/>
  <c r="G105" i="12" s="1"/>
  <c r="G106" i="12" s="1"/>
  <c r="G107" i="12" s="1"/>
  <c r="G108" i="12" s="1"/>
  <c r="G109" i="12" s="1"/>
  <c r="F98" i="12"/>
  <c r="F99" i="12" s="1"/>
  <c r="F100" i="12" s="1"/>
  <c r="F101" i="12" s="1"/>
  <c r="F102" i="12" s="1"/>
  <c r="F103" i="12" s="1"/>
  <c r="E98" i="12"/>
  <c r="E99" i="12" s="1"/>
  <c r="E100" i="12" s="1"/>
  <c r="E101" i="12" s="1"/>
  <c r="E102" i="12" s="1"/>
  <c r="E103" i="12" s="1"/>
  <c r="K19" i="12"/>
  <c r="B19" i="13" s="1"/>
  <c r="C20" i="12"/>
  <c r="M36" i="11"/>
  <c r="V64" i="12"/>
  <c r="V80" i="12" s="1"/>
  <c r="V81" i="12" s="1"/>
  <c r="V87" i="12" s="1"/>
  <c r="V91" i="12" s="1"/>
  <c r="V98" i="12" s="1"/>
  <c r="V110" i="12" s="1"/>
  <c r="V118" i="12" s="1"/>
  <c r="V131" i="12" s="1"/>
  <c r="C38" i="11"/>
  <c r="B35" i="11" s="1"/>
  <c r="V33" i="11" s="1"/>
  <c r="A53" i="11"/>
  <c r="E35" i="11"/>
  <c r="G35" i="11"/>
  <c r="H35" i="11"/>
  <c r="B32" i="11"/>
  <c r="AC30" i="11" s="1"/>
  <c r="AC31" i="11" s="1"/>
  <c r="F35" i="11"/>
  <c r="D40" i="12"/>
  <c r="T28" i="11"/>
  <c r="W19" i="11"/>
  <c r="F61" i="12" l="1"/>
  <c r="F62" i="12" s="1"/>
  <c r="F63" i="12" s="1"/>
  <c r="E61" i="12"/>
  <c r="E62" i="12" s="1"/>
  <c r="E63" i="12" s="1"/>
  <c r="G87" i="12"/>
  <c r="G88" i="12" s="1"/>
  <c r="G86" i="12"/>
  <c r="G111" i="12"/>
  <c r="G112" i="12" s="1"/>
  <c r="G113" i="12" s="1"/>
  <c r="G114" i="12" s="1"/>
  <c r="G115" i="12" s="1"/>
  <c r="G116" i="12" s="1"/>
  <c r="G117" i="12" s="1"/>
  <c r="G118" i="12"/>
  <c r="G119" i="12" s="1"/>
  <c r="G120" i="12" s="1"/>
  <c r="G121" i="12" s="1"/>
  <c r="G122" i="12" s="1"/>
  <c r="G123" i="12" s="1"/>
  <c r="G124" i="12" s="1"/>
  <c r="G125" i="12" s="1"/>
  <c r="G126" i="12" s="1"/>
  <c r="G127" i="12" s="1"/>
  <c r="G128" i="12" s="1"/>
  <c r="G129" i="12" s="1"/>
  <c r="G67" i="12"/>
  <c r="F65" i="12"/>
  <c r="F66" i="12" s="1"/>
  <c r="E65" i="12"/>
  <c r="E66" i="12" s="1"/>
  <c r="F80" i="12"/>
  <c r="F81" i="12" s="1"/>
  <c r="F82" i="12" s="1"/>
  <c r="F83" i="12" s="1"/>
  <c r="F84" i="12" s="1"/>
  <c r="F85" i="12" s="1"/>
  <c r="E80" i="12"/>
  <c r="E81" i="12" s="1"/>
  <c r="E82" i="12" s="1"/>
  <c r="E83" i="12" s="1"/>
  <c r="E84" i="12" s="1"/>
  <c r="E85" i="12" s="1"/>
  <c r="E110" i="12"/>
  <c r="E104" i="12"/>
  <c r="E105" i="12" s="1"/>
  <c r="E106" i="12" s="1"/>
  <c r="E107" i="12" s="1"/>
  <c r="E108" i="12" s="1"/>
  <c r="E109" i="12" s="1"/>
  <c r="F110" i="12"/>
  <c r="F104" i="12"/>
  <c r="F105" i="12" s="1"/>
  <c r="F106" i="12" s="1"/>
  <c r="F107" i="12" s="1"/>
  <c r="F108" i="12" s="1"/>
  <c r="F109" i="12" s="1"/>
  <c r="C21" i="12"/>
  <c r="K20" i="12"/>
  <c r="B20" i="13" s="1"/>
  <c r="C41" i="11"/>
  <c r="G41" i="11" s="1"/>
  <c r="E38" i="11"/>
  <c r="M39" i="11"/>
  <c r="C47" i="11"/>
  <c r="G47" i="11" s="1"/>
  <c r="F38" i="11"/>
  <c r="C50" i="11"/>
  <c r="H50" i="11" s="1"/>
  <c r="M48" i="11"/>
  <c r="M45" i="11"/>
  <c r="M42" i="11"/>
  <c r="W33" i="11"/>
  <c r="C44" i="11"/>
  <c r="H44" i="11" s="1"/>
  <c r="P33" i="11"/>
  <c r="P34" i="11" s="1"/>
  <c r="Q34" i="11" s="1"/>
  <c r="R34" i="11" s="1"/>
  <c r="AC33" i="11"/>
  <c r="AC34" i="11" s="1"/>
  <c r="H38" i="11"/>
  <c r="G38" i="11"/>
  <c r="M51" i="11"/>
  <c r="C53" i="11"/>
  <c r="A56" i="11"/>
  <c r="U33" i="11"/>
  <c r="J32" i="11"/>
  <c r="V30" i="11"/>
  <c r="U30" i="11"/>
  <c r="Q30" i="11"/>
  <c r="W30" i="11"/>
  <c r="P30" i="11"/>
  <c r="P31" i="11" s="1"/>
  <c r="J23" i="11"/>
  <c r="J29" i="11"/>
  <c r="D41" i="12"/>
  <c r="J20" i="11"/>
  <c r="U28" i="11"/>
  <c r="G131" i="12" l="1"/>
  <c r="G132" i="12" s="1"/>
  <c r="G133" i="12" s="1"/>
  <c r="G130" i="12"/>
  <c r="G89" i="12"/>
  <c r="G90" i="12" s="1"/>
  <c r="G91" i="12" s="1"/>
  <c r="G92" i="12" s="1"/>
  <c r="G93" i="12" s="1"/>
  <c r="F87" i="12"/>
  <c r="F88" i="12" s="1"/>
  <c r="F86" i="12"/>
  <c r="E87" i="12"/>
  <c r="E88" i="12" s="1"/>
  <c r="E86" i="12"/>
  <c r="F111" i="12"/>
  <c r="F112" i="12" s="1"/>
  <c r="F113" i="12" s="1"/>
  <c r="F114" i="12" s="1"/>
  <c r="F115" i="12" s="1"/>
  <c r="F116" i="12" s="1"/>
  <c r="F117" i="12" s="1"/>
  <c r="E111" i="12"/>
  <c r="E112" i="12" s="1"/>
  <c r="E113" i="12" s="1"/>
  <c r="E114" i="12" s="1"/>
  <c r="E115" i="12" s="1"/>
  <c r="E116" i="12" s="1"/>
  <c r="E117" i="12" s="1"/>
  <c r="E118" i="12"/>
  <c r="E119" i="12" s="1"/>
  <c r="E120" i="12" s="1"/>
  <c r="E121" i="12" s="1"/>
  <c r="E122" i="12" s="1"/>
  <c r="E123" i="12" s="1"/>
  <c r="E124" i="12" s="1"/>
  <c r="E125" i="12" s="1"/>
  <c r="E126" i="12" s="1"/>
  <c r="E127" i="12" s="1"/>
  <c r="E128" i="12" s="1"/>
  <c r="E129" i="12" s="1"/>
  <c r="F118" i="12"/>
  <c r="F119" i="12" s="1"/>
  <c r="F120" i="12" s="1"/>
  <c r="F121" i="12" s="1"/>
  <c r="F122" i="12" s="1"/>
  <c r="F123" i="12" s="1"/>
  <c r="F124" i="12" s="1"/>
  <c r="F125" i="12" s="1"/>
  <c r="F126" i="12" s="1"/>
  <c r="F127" i="12" s="1"/>
  <c r="F128" i="12" s="1"/>
  <c r="F129" i="12" s="1"/>
  <c r="G68" i="12"/>
  <c r="E67" i="12"/>
  <c r="F67" i="12"/>
  <c r="K21" i="12"/>
  <c r="B21" i="13" s="1"/>
  <c r="C22" i="12"/>
  <c r="C23" i="12" s="1"/>
  <c r="B44" i="11"/>
  <c r="G50" i="11"/>
  <c r="B38" i="11"/>
  <c r="V36" i="11" s="1"/>
  <c r="B50" i="11"/>
  <c r="P48" i="11" s="1"/>
  <c r="P49" i="11" s="1"/>
  <c r="F41" i="11"/>
  <c r="J38" i="11" s="1"/>
  <c r="J35" i="11"/>
  <c r="H41" i="11"/>
  <c r="B41" i="11"/>
  <c r="P39" i="11" s="1"/>
  <c r="P40" i="11" s="1"/>
  <c r="E41" i="11"/>
  <c r="F44" i="11"/>
  <c r="F47" i="11" s="1"/>
  <c r="G44" i="11"/>
  <c r="B47" i="11"/>
  <c r="P45" i="11" s="1"/>
  <c r="H47" i="11"/>
  <c r="S34" i="11"/>
  <c r="T34" i="11" s="1"/>
  <c r="U34" i="11" s="1"/>
  <c r="M54" i="11"/>
  <c r="C56" i="11"/>
  <c r="B53" i="11" s="1"/>
  <c r="A59" i="11"/>
  <c r="H53" i="11"/>
  <c r="G53" i="11"/>
  <c r="Q31" i="11"/>
  <c r="R31" i="11" s="1"/>
  <c r="S31" i="11" s="1"/>
  <c r="T31" i="11" s="1"/>
  <c r="U31" i="11" s="1"/>
  <c r="V28" i="11"/>
  <c r="F131" i="12" l="1"/>
  <c r="F132" i="12" s="1"/>
  <c r="F133" i="12" s="1"/>
  <c r="F130" i="12"/>
  <c r="E131" i="12"/>
  <c r="E132" i="12" s="1"/>
  <c r="E133" i="12" s="1"/>
  <c r="E130" i="12"/>
  <c r="G94" i="12"/>
  <c r="G95" i="12" s="1"/>
  <c r="G96" i="12" s="1"/>
  <c r="G97" i="12" s="1"/>
  <c r="K23" i="12"/>
  <c r="B23" i="13" s="1"/>
  <c r="C24" i="12"/>
  <c r="K24" i="12" s="1"/>
  <c r="B24" i="13" s="1"/>
  <c r="E89" i="12"/>
  <c r="E90" i="12" s="1"/>
  <c r="E91" i="12" s="1"/>
  <c r="E92" i="12" s="1"/>
  <c r="E93" i="12" s="1"/>
  <c r="F89" i="12"/>
  <c r="F90" i="12" s="1"/>
  <c r="F91" i="12" s="1"/>
  <c r="F92" i="12" s="1"/>
  <c r="F93" i="12" s="1"/>
  <c r="G69" i="12"/>
  <c r="G70" i="12" s="1"/>
  <c r="G71" i="12" s="1"/>
  <c r="F68" i="12"/>
  <c r="E68" i="12"/>
  <c r="D42" i="12"/>
  <c r="D43" i="12" s="1"/>
  <c r="K22" i="12"/>
  <c r="B22" i="13" s="1"/>
  <c r="Q36" i="11"/>
  <c r="P36" i="11"/>
  <c r="P37" i="11" s="1"/>
  <c r="U36" i="11"/>
  <c r="R36" i="11"/>
  <c r="AC36" i="11"/>
  <c r="AC37" i="11" s="1"/>
  <c r="W36" i="11"/>
  <c r="U48" i="11"/>
  <c r="W48" i="11"/>
  <c r="U45" i="11"/>
  <c r="V48" i="11"/>
  <c r="Q48" i="11"/>
  <c r="Q49" i="11" s="1"/>
  <c r="R49" i="11" s="1"/>
  <c r="AC48" i="11"/>
  <c r="AC49" i="11" s="1"/>
  <c r="Q39" i="11"/>
  <c r="Q40" i="11" s="1"/>
  <c r="T48" i="11"/>
  <c r="V45" i="11"/>
  <c r="P46" i="11"/>
  <c r="I35" i="11"/>
  <c r="D35" i="11" s="1"/>
  <c r="E44" i="11"/>
  <c r="E47" i="11" s="1"/>
  <c r="E50" i="11" s="1"/>
  <c r="E53" i="11" s="1"/>
  <c r="E56" i="11" s="1"/>
  <c r="S45" i="11"/>
  <c r="I41" i="11"/>
  <c r="T39" i="11"/>
  <c r="U39" i="11"/>
  <c r="W45" i="11"/>
  <c r="W39" i="11"/>
  <c r="AC39" i="11"/>
  <c r="AC40" i="11" s="1"/>
  <c r="V39" i="11"/>
  <c r="S39" i="11"/>
  <c r="T45" i="11"/>
  <c r="I29" i="11"/>
  <c r="D29" i="11" s="1"/>
  <c r="AC45" i="11"/>
  <c r="AC46" i="11" s="1"/>
  <c r="I38" i="11"/>
  <c r="D38" i="11" s="1"/>
  <c r="I32" i="11"/>
  <c r="D32" i="11" s="1"/>
  <c r="Q51" i="11"/>
  <c r="AC51" i="11"/>
  <c r="AC52" i="11" s="1"/>
  <c r="P51" i="11"/>
  <c r="P52" i="11" s="1"/>
  <c r="W51" i="11"/>
  <c r="V51" i="11"/>
  <c r="U51" i="11"/>
  <c r="R51" i="11"/>
  <c r="M57" i="11"/>
  <c r="C59" i="11"/>
  <c r="B56" i="11" s="1"/>
  <c r="A62" i="11"/>
  <c r="G56" i="11"/>
  <c r="H56" i="11"/>
  <c r="F50" i="11"/>
  <c r="V34" i="11"/>
  <c r="V31" i="11"/>
  <c r="W28" i="11"/>
  <c r="F94" i="12" l="1"/>
  <c r="F95" i="12" s="1"/>
  <c r="F96" i="12" s="1"/>
  <c r="F97" i="12" s="1"/>
  <c r="E94" i="12"/>
  <c r="E95" i="12" s="1"/>
  <c r="E96" i="12" s="1"/>
  <c r="E97" i="12" s="1"/>
  <c r="C25" i="12"/>
  <c r="C26" i="12" s="1"/>
  <c r="K26" i="12" s="1"/>
  <c r="B26" i="13" s="1"/>
  <c r="G72" i="12"/>
  <c r="E69" i="12"/>
  <c r="E70" i="12" s="1"/>
  <c r="E71" i="12" s="1"/>
  <c r="F69" i="12"/>
  <c r="F70" i="12" s="1"/>
  <c r="F71" i="12" s="1"/>
  <c r="Q37" i="11"/>
  <c r="R37" i="11" s="1"/>
  <c r="S37" i="11" s="1"/>
  <c r="T37" i="11" s="1"/>
  <c r="U37" i="11" s="1"/>
  <c r="V37" i="11" s="1"/>
  <c r="W37" i="11" s="1"/>
  <c r="R40" i="11"/>
  <c r="S40" i="11" s="1"/>
  <c r="T40" i="11" s="1"/>
  <c r="U40" i="11" s="1"/>
  <c r="V40" i="11" s="1"/>
  <c r="Q46" i="11"/>
  <c r="R46" i="11" s="1"/>
  <c r="S46" i="11" s="1"/>
  <c r="T46" i="11" s="1"/>
  <c r="J26" i="11"/>
  <c r="Q52" i="11"/>
  <c r="F53" i="11"/>
  <c r="J47" i="11"/>
  <c r="M60" i="11"/>
  <c r="C62" i="11"/>
  <c r="B59" i="11" s="1"/>
  <c r="A65" i="11"/>
  <c r="AC54" i="11"/>
  <c r="AC55" i="11" s="1"/>
  <c r="P54" i="11"/>
  <c r="P55" i="11" s="1"/>
  <c r="W54" i="11"/>
  <c r="V54" i="11"/>
  <c r="U54" i="11"/>
  <c r="T54" i="11"/>
  <c r="R54" i="11"/>
  <c r="Q54" i="11"/>
  <c r="E59" i="11"/>
  <c r="H59" i="11"/>
  <c r="G59" i="11"/>
  <c r="S49" i="11"/>
  <c r="D44" i="12"/>
  <c r="W34" i="11"/>
  <c r="W31" i="11"/>
  <c r="K25" i="12" l="1"/>
  <c r="B25" i="13" s="1"/>
  <c r="G73" i="12"/>
  <c r="F72" i="12"/>
  <c r="E72" i="12"/>
  <c r="C27" i="12"/>
  <c r="Q55" i="11"/>
  <c r="R55" i="11" s="1"/>
  <c r="T49" i="11"/>
  <c r="J50" i="11"/>
  <c r="W40" i="11"/>
  <c r="C65" i="11"/>
  <c r="B62" i="11" s="1"/>
  <c r="M63" i="11"/>
  <c r="U46" i="11"/>
  <c r="R52" i="11"/>
  <c r="E62" i="11"/>
  <c r="J44" i="11" s="1"/>
  <c r="H62" i="11"/>
  <c r="G62" i="11"/>
  <c r="F62" i="11"/>
  <c r="I59" i="11" s="1"/>
  <c r="W57" i="11"/>
  <c r="V57" i="11"/>
  <c r="U57" i="11"/>
  <c r="T57" i="11"/>
  <c r="S57" i="11"/>
  <c r="Q57" i="11"/>
  <c r="AC57" i="11"/>
  <c r="AC58" i="11" s="1"/>
  <c r="P57" i="11"/>
  <c r="P58" i="11" s="1"/>
  <c r="F56" i="11"/>
  <c r="D45" i="12"/>
  <c r="G74" i="12" l="1"/>
  <c r="G75" i="12" s="1"/>
  <c r="G76" i="12" s="1"/>
  <c r="G77" i="12" s="1"/>
  <c r="G78" i="12" s="1"/>
  <c r="G79" i="12" s="1"/>
  <c r="E73" i="12"/>
  <c r="F73" i="12"/>
  <c r="C28" i="12"/>
  <c r="K27" i="12"/>
  <c r="B27" i="13" s="1"/>
  <c r="Q58" i="11"/>
  <c r="R58" i="11" s="1"/>
  <c r="V60" i="11"/>
  <c r="U60" i="11"/>
  <c r="T60" i="11"/>
  <c r="S60" i="11"/>
  <c r="R60" i="11"/>
  <c r="AC60" i="11"/>
  <c r="AC61" i="11" s="1"/>
  <c r="P61" i="11"/>
  <c r="W60" i="11"/>
  <c r="S52" i="11"/>
  <c r="F59" i="11"/>
  <c r="I50" i="11" s="1"/>
  <c r="D50" i="11" s="1"/>
  <c r="J53" i="11"/>
  <c r="V46" i="11"/>
  <c r="S55" i="11"/>
  <c r="U49" i="11"/>
  <c r="B65" i="11"/>
  <c r="I65" i="11"/>
  <c r="H65" i="11"/>
  <c r="G65" i="11"/>
  <c r="F65" i="11"/>
  <c r="E65" i="11"/>
  <c r="J65" i="11" s="1"/>
  <c r="D46" i="12"/>
  <c r="D47" i="12" l="1"/>
  <c r="D48" i="12" s="1"/>
  <c r="D49" i="12" s="1"/>
  <c r="D50" i="12" s="1"/>
  <c r="F74" i="12"/>
  <c r="F75" i="12" s="1"/>
  <c r="F76" i="12" s="1"/>
  <c r="F77" i="12" s="1"/>
  <c r="F78" i="12" s="1"/>
  <c r="F79" i="12" s="1"/>
  <c r="E74" i="12"/>
  <c r="E75" i="12" s="1"/>
  <c r="E76" i="12" s="1"/>
  <c r="E77" i="12" s="1"/>
  <c r="E78" i="12" s="1"/>
  <c r="E79" i="12" s="1"/>
  <c r="K28" i="12"/>
  <c r="B28" i="13" s="1"/>
  <c r="D65" i="11"/>
  <c r="Q61" i="11"/>
  <c r="R61" i="11" s="1"/>
  <c r="J41" i="11"/>
  <c r="D41" i="11" s="1"/>
  <c r="T55" i="11"/>
  <c r="T52" i="11"/>
  <c r="W46" i="11"/>
  <c r="U63" i="11"/>
  <c r="S63" i="11"/>
  <c r="R63" i="11"/>
  <c r="Q63" i="11"/>
  <c r="AC63" i="11"/>
  <c r="AC64" i="11" s="1"/>
  <c r="P63" i="11"/>
  <c r="P64" i="11" s="1"/>
  <c r="W63" i="11"/>
  <c r="V63" i="11"/>
  <c r="I47" i="11"/>
  <c r="D47" i="11" s="1"/>
  <c r="S58" i="11"/>
  <c r="V49" i="11"/>
  <c r="I62" i="11"/>
  <c r="I20" i="11"/>
  <c r="D20" i="11" s="1"/>
  <c r="I23" i="11"/>
  <c r="D23" i="11" s="1"/>
  <c r="I26" i="11"/>
  <c r="D26" i="11" s="1"/>
  <c r="I44" i="11"/>
  <c r="D44" i="11" s="1"/>
  <c r="J62" i="11"/>
  <c r="I56" i="11"/>
  <c r="J59" i="11"/>
  <c r="D59" i="11" s="1"/>
  <c r="J56" i="11"/>
  <c r="I53" i="11"/>
  <c r="D53" i="11" s="1"/>
  <c r="D51" i="12" l="1"/>
  <c r="D52" i="12" s="1"/>
  <c r="I44" i="12"/>
  <c r="C29" i="12"/>
  <c r="K29" i="12" s="1"/>
  <c r="B29" i="13" s="1"/>
  <c r="D62" i="11"/>
  <c r="Q64" i="11"/>
  <c r="R64" i="11" s="1"/>
  <c r="W49" i="11"/>
  <c r="T58" i="11"/>
  <c r="U52" i="11"/>
  <c r="U55" i="11"/>
  <c r="D56" i="11"/>
  <c r="S61" i="11"/>
  <c r="S64" i="11" l="1"/>
  <c r="V52" i="11"/>
  <c r="U58" i="11"/>
  <c r="T61" i="11"/>
  <c r="V55" i="11"/>
  <c r="D53" i="12"/>
  <c r="D54" i="12" s="1"/>
  <c r="D55" i="12" s="1"/>
  <c r="D56" i="12" l="1"/>
  <c r="D57" i="12" s="1"/>
  <c r="D58" i="12" s="1"/>
  <c r="W52" i="11"/>
  <c r="W55" i="11"/>
  <c r="V58" i="11"/>
  <c r="T64" i="11"/>
  <c r="U61" i="11"/>
  <c r="C30" i="12"/>
  <c r="D59" i="12" l="1"/>
  <c r="D60" i="12" s="1"/>
  <c r="W58" i="11"/>
  <c r="U64" i="11"/>
  <c r="V61" i="11"/>
  <c r="C31" i="12"/>
  <c r="K30" i="12"/>
  <c r="D61" i="12" l="1"/>
  <c r="D62" i="12" s="1"/>
  <c r="D63" i="12" s="1"/>
  <c r="D64" i="12" s="1"/>
  <c r="D65" i="12" s="1"/>
  <c r="D66" i="12" s="1"/>
  <c r="D67" i="12" s="1"/>
  <c r="D68" i="12" s="1"/>
  <c r="D69" i="12" s="1"/>
  <c r="D70" i="12" s="1"/>
  <c r="D71" i="12" s="1"/>
  <c r="D72" i="12" s="1"/>
  <c r="V64" i="11"/>
  <c r="W61" i="11"/>
  <c r="L21" i="11"/>
  <c r="B30" i="13"/>
  <c r="C32" i="12"/>
  <c r="C33" i="12" s="1"/>
  <c r="C34" i="12" s="1"/>
  <c r="K34" i="12" s="1"/>
  <c r="B34" i="13" s="1"/>
  <c r="K31" i="12"/>
  <c r="I50" i="12" l="1"/>
  <c r="C35" i="12"/>
  <c r="K35" i="12" s="1"/>
  <c r="B35" i="13" s="1"/>
  <c r="K33" i="12"/>
  <c r="B33" i="13" s="1"/>
  <c r="W64" i="11"/>
  <c r="B31" i="13"/>
  <c r="L24" i="11"/>
  <c r="K32" i="12"/>
  <c r="B32" i="13" s="1"/>
  <c r="D73" i="12" l="1"/>
  <c r="C36" i="12"/>
  <c r="C37" i="12" s="1"/>
  <c r="K37" i="12" s="1"/>
  <c r="B37" i="13" s="1"/>
  <c r="D80" i="12"/>
  <c r="D81" i="12" s="1"/>
  <c r="D82" i="12" s="1"/>
  <c r="D74" i="12" l="1"/>
  <c r="K36" i="12"/>
  <c r="B36" i="13" s="1"/>
  <c r="C38" i="12"/>
  <c r="I31" i="12"/>
  <c r="D75" i="12" l="1"/>
  <c r="K38" i="12"/>
  <c r="B38" i="13" s="1"/>
  <c r="C39" i="12"/>
  <c r="K39" i="12" s="1"/>
  <c r="B39" i="13" s="1"/>
  <c r="D83" i="12"/>
  <c r="D76" i="12" l="1"/>
  <c r="C40" i="12"/>
  <c r="D84" i="12"/>
  <c r="D77" i="12" l="1"/>
  <c r="C41" i="12"/>
  <c r="K40" i="12"/>
  <c r="D78" i="12" l="1"/>
  <c r="C82" i="13"/>
  <c r="D82" i="13"/>
  <c r="D28" i="13"/>
  <c r="D27" i="13"/>
  <c r="C27" i="13"/>
  <c r="C28" i="13"/>
  <c r="L27" i="11"/>
  <c r="B40" i="13"/>
  <c r="C42" i="12"/>
  <c r="K42" i="12" s="1"/>
  <c r="B42" i="13" s="1"/>
  <c r="K41" i="12"/>
  <c r="B41" i="13" s="1"/>
  <c r="C22" i="13"/>
  <c r="D22" i="13"/>
  <c r="C21" i="13"/>
  <c r="D21" i="13"/>
  <c r="C20" i="13"/>
  <c r="D20" i="13"/>
  <c r="C19" i="13"/>
  <c r="D19" i="13"/>
  <c r="C17" i="13"/>
  <c r="D17" i="13"/>
  <c r="C16" i="13"/>
  <c r="D16" i="13"/>
  <c r="D133" i="13"/>
  <c r="C133" i="13"/>
  <c r="D132" i="13"/>
  <c r="C132" i="13"/>
  <c r="D129" i="13"/>
  <c r="C129" i="13"/>
  <c r="C128" i="13"/>
  <c r="D128" i="13"/>
  <c r="C127" i="13"/>
  <c r="D127" i="13"/>
  <c r="C126" i="13"/>
  <c r="D126" i="13"/>
  <c r="D125" i="13"/>
  <c r="C125" i="13"/>
  <c r="D124" i="13"/>
  <c r="C124" i="13"/>
  <c r="D123" i="13"/>
  <c r="C123" i="13"/>
  <c r="D122" i="13"/>
  <c r="C122" i="13"/>
  <c r="C121" i="13"/>
  <c r="D121" i="13"/>
  <c r="C120" i="13"/>
  <c r="D120" i="13"/>
  <c r="C119" i="13"/>
  <c r="D119" i="13"/>
  <c r="C115" i="13"/>
  <c r="D115" i="13"/>
  <c r="D114" i="13"/>
  <c r="C114" i="13"/>
  <c r="C103" i="13"/>
  <c r="D103" i="13"/>
  <c r="C102" i="13"/>
  <c r="D102" i="13"/>
  <c r="D101" i="13"/>
  <c r="C101" i="13"/>
  <c r="D100" i="13"/>
  <c r="C100" i="13"/>
  <c r="D99" i="13"/>
  <c r="C99" i="13"/>
  <c r="D95" i="13"/>
  <c r="C95" i="13"/>
  <c r="C93" i="13"/>
  <c r="D93" i="13"/>
  <c r="C92" i="13"/>
  <c r="D92" i="13"/>
  <c r="D88" i="13"/>
  <c r="C90" i="13"/>
  <c r="D90" i="13"/>
  <c r="C88" i="13"/>
  <c r="C85" i="13"/>
  <c r="D85" i="13"/>
  <c r="C84" i="13"/>
  <c r="D84" i="13"/>
  <c r="D83" i="13"/>
  <c r="C83" i="13"/>
  <c r="D85" i="12"/>
  <c r="D86" i="12" s="1"/>
  <c r="C71" i="13"/>
  <c r="D71" i="13"/>
  <c r="C70" i="13"/>
  <c r="D70" i="13"/>
  <c r="D55" i="13"/>
  <c r="C55" i="13"/>
  <c r="D54" i="13"/>
  <c r="C54" i="13"/>
  <c r="D53" i="13"/>
  <c r="C53" i="13"/>
  <c r="D52" i="13"/>
  <c r="C52" i="13"/>
  <c r="D51" i="13"/>
  <c r="C51" i="13"/>
  <c r="D48" i="13"/>
  <c r="C48" i="13"/>
  <c r="C46" i="13"/>
  <c r="D46" i="13"/>
  <c r="C45" i="13"/>
  <c r="D45" i="13"/>
  <c r="C43" i="13"/>
  <c r="D43" i="13"/>
  <c r="C41" i="13"/>
  <c r="D41" i="13"/>
  <c r="D38" i="13"/>
  <c r="C38" i="13"/>
  <c r="C36" i="13"/>
  <c r="D36" i="13"/>
  <c r="C32" i="13"/>
  <c r="D32" i="13"/>
  <c r="D14" i="13"/>
  <c r="C14" i="13"/>
  <c r="D79" i="12" l="1"/>
  <c r="H64" i="12" s="1"/>
  <c r="C43" i="12"/>
  <c r="D87" i="12"/>
  <c r="H50" i="12" l="1"/>
  <c r="B50" i="12" s="1"/>
  <c r="T50" i="12" s="1"/>
  <c r="K38" i="11" s="1"/>
  <c r="N36" i="11" s="1"/>
  <c r="S38" i="11" s="1"/>
  <c r="H31" i="12"/>
  <c r="B31" i="12" s="1"/>
  <c r="T31" i="12" s="1"/>
  <c r="U31" i="12" s="1"/>
  <c r="H44" i="12"/>
  <c r="B44" i="12" s="1"/>
  <c r="T44" i="12" s="1"/>
  <c r="K35" i="11" s="1"/>
  <c r="N33" i="11" s="1"/>
  <c r="P35" i="11" s="1"/>
  <c r="K43" i="12"/>
  <c r="B43" i="13" s="1"/>
  <c r="D88" i="12"/>
  <c r="Q38" i="11" l="1"/>
  <c r="U38" i="11"/>
  <c r="R38" i="11"/>
  <c r="W38" i="11"/>
  <c r="U50" i="12"/>
  <c r="P38" i="11"/>
  <c r="T38" i="11"/>
  <c r="AC38" i="11"/>
  <c r="V38" i="11"/>
  <c r="S35" i="11"/>
  <c r="R35" i="11"/>
  <c r="V35" i="11"/>
  <c r="Q35" i="11"/>
  <c r="T35" i="11"/>
  <c r="U35" i="11"/>
  <c r="W35" i="11"/>
  <c r="U44" i="12"/>
  <c r="AC35" i="11"/>
  <c r="D89" i="12"/>
  <c r="L30" i="11" l="1"/>
  <c r="D90" i="12"/>
  <c r="I81" i="12" l="1"/>
  <c r="C44" i="12" l="1"/>
  <c r="C45" i="12" l="1"/>
  <c r="K44" i="12"/>
  <c r="C46" i="12" l="1"/>
  <c r="K45" i="12"/>
  <c r="B45" i="13" s="1"/>
  <c r="B44" i="13"/>
  <c r="L33" i="11"/>
  <c r="D91" i="12"/>
  <c r="I87" i="12" s="1"/>
  <c r="C47" i="12" l="1"/>
  <c r="K47" i="12" s="1"/>
  <c r="B47" i="13" s="1"/>
  <c r="K46" i="12"/>
  <c r="B46" i="13" s="1"/>
  <c r="D92" i="12"/>
  <c r="C48" i="12" l="1"/>
  <c r="D93" i="12"/>
  <c r="D94" i="12" l="1"/>
  <c r="D95" i="12" s="1"/>
  <c r="D96" i="12" s="1"/>
  <c r="K48" i="12"/>
  <c r="B48" i="13" s="1"/>
  <c r="C49" i="12"/>
  <c r="K49" i="12" s="1"/>
  <c r="B49" i="13" s="1"/>
  <c r="D97" i="12" l="1"/>
  <c r="D98" i="12" s="1"/>
  <c r="C50" i="12"/>
  <c r="D99" i="12" l="1"/>
  <c r="D100" i="12" s="1"/>
  <c r="D101" i="12" s="1"/>
  <c r="I91" i="12"/>
  <c r="C51" i="12"/>
  <c r="K50" i="12"/>
  <c r="B50" i="13" l="1"/>
  <c r="L36" i="11"/>
  <c r="K51" i="12"/>
  <c r="B51" i="13" s="1"/>
  <c r="C52" i="12"/>
  <c r="D102" i="12"/>
  <c r="C53" i="12" l="1"/>
  <c r="K52" i="12"/>
  <c r="B52" i="13" s="1"/>
  <c r="D103" i="12"/>
  <c r="D104" i="12" s="1"/>
  <c r="D105" i="12" s="1"/>
  <c r="D106" i="12" s="1"/>
  <c r="D107" i="12" s="1"/>
  <c r="D108" i="12" s="1"/>
  <c r="D109" i="12" s="1"/>
  <c r="C54" i="12" l="1"/>
  <c r="K53" i="12"/>
  <c r="B53" i="13" s="1"/>
  <c r="D110" i="12"/>
  <c r="D111" i="12" s="1"/>
  <c r="D112" i="12" s="1"/>
  <c r="D113" i="12" s="1"/>
  <c r="C55" i="12" l="1"/>
  <c r="C56" i="12" s="1"/>
  <c r="K54" i="12"/>
  <c r="B54" i="13" s="1"/>
  <c r="D114" i="12"/>
  <c r="C57" i="12" l="1"/>
  <c r="K56" i="12"/>
  <c r="B56" i="13" s="1"/>
  <c r="K55" i="12"/>
  <c r="B55" i="13" s="1"/>
  <c r="D115" i="12"/>
  <c r="C58" i="12" l="1"/>
  <c r="C59" i="12" s="1"/>
  <c r="K57" i="12"/>
  <c r="B57" i="13" s="1"/>
  <c r="K59" i="12" l="1"/>
  <c r="B59" i="13" s="1"/>
  <c r="C60" i="12"/>
  <c r="C61" i="12" s="1"/>
  <c r="K61" i="12" s="1"/>
  <c r="B61" i="13" s="1"/>
  <c r="K58" i="12"/>
  <c r="B58" i="13" s="1"/>
  <c r="D116" i="12"/>
  <c r="D117" i="12" s="1"/>
  <c r="K60" i="12" l="1"/>
  <c r="B60" i="13" s="1"/>
  <c r="C62" i="12"/>
  <c r="D118" i="12"/>
  <c r="D119" i="12" s="1"/>
  <c r="D120" i="12" s="1"/>
  <c r="D121" i="12" s="1"/>
  <c r="D122" i="12" s="1"/>
  <c r="D123" i="12" s="1"/>
  <c r="D124" i="12" s="1"/>
  <c r="D125" i="12" s="1"/>
  <c r="D126" i="12" s="1"/>
  <c r="D127" i="12" s="1"/>
  <c r="D128" i="12" s="1"/>
  <c r="D129" i="12" s="1"/>
  <c r="D131" i="12" l="1"/>
  <c r="D132" i="12" s="1"/>
  <c r="D130" i="12"/>
  <c r="K62" i="12"/>
  <c r="B62" i="13" s="1"/>
  <c r="C63" i="12"/>
  <c r="H110" i="12"/>
  <c r="H81" i="12"/>
  <c r="B81" i="12" s="1"/>
  <c r="T81" i="12" s="1"/>
  <c r="I98" i="12"/>
  <c r="H87" i="12"/>
  <c r="B87" i="12" s="1"/>
  <c r="T87" i="12" s="1"/>
  <c r="H91" i="12"/>
  <c r="B91" i="12" s="1"/>
  <c r="T91" i="12" s="1"/>
  <c r="H98" i="12"/>
  <c r="K63" i="12" l="1"/>
  <c r="B63" i="13" s="1"/>
  <c r="C64" i="12"/>
  <c r="U91" i="12"/>
  <c r="K53" i="11"/>
  <c r="N51" i="11" s="1"/>
  <c r="U81" i="12"/>
  <c r="K47" i="11"/>
  <c r="N45" i="11" s="1"/>
  <c r="U87" i="12"/>
  <c r="K50" i="11"/>
  <c r="N48" i="11" s="1"/>
  <c r="D133" i="12"/>
  <c r="B98" i="12"/>
  <c r="T98" i="12" s="1"/>
  <c r="I110" i="12" l="1"/>
  <c r="B110" i="12" s="1"/>
  <c r="T110" i="12" s="1"/>
  <c r="U110" i="12" s="1"/>
  <c r="C65" i="12"/>
  <c r="K64" i="12"/>
  <c r="AC53" i="11"/>
  <c r="P53" i="11"/>
  <c r="Q53" i="11"/>
  <c r="R53" i="11"/>
  <c r="S53" i="11"/>
  <c r="T53" i="11"/>
  <c r="U53" i="11"/>
  <c r="V53" i="11"/>
  <c r="W53" i="11"/>
  <c r="U98" i="12"/>
  <c r="K56" i="11"/>
  <c r="N54" i="11" s="1"/>
  <c r="AC50" i="11"/>
  <c r="P50" i="11"/>
  <c r="R50" i="11"/>
  <c r="Q50" i="11"/>
  <c r="S50" i="11"/>
  <c r="T50" i="11"/>
  <c r="U50" i="11"/>
  <c r="V50" i="11"/>
  <c r="W50" i="11"/>
  <c r="Q47" i="11"/>
  <c r="P47" i="11"/>
  <c r="AC47" i="11"/>
  <c r="R47" i="11"/>
  <c r="S47" i="11"/>
  <c r="T47" i="11"/>
  <c r="U47" i="11"/>
  <c r="V47" i="11"/>
  <c r="W47" i="11"/>
  <c r="I64" i="12"/>
  <c r="B64" i="12" s="1"/>
  <c r="T64" i="12" s="1"/>
  <c r="K59" i="11" l="1"/>
  <c r="N57" i="11" s="1"/>
  <c r="S59" i="11" s="1"/>
  <c r="B64" i="13"/>
  <c r="L39" i="11"/>
  <c r="C66" i="12"/>
  <c r="K65" i="12"/>
  <c r="B65" i="13" s="1"/>
  <c r="Q56" i="11"/>
  <c r="P56" i="11"/>
  <c r="AC56" i="11"/>
  <c r="R56" i="11"/>
  <c r="S56" i="11"/>
  <c r="T56" i="11"/>
  <c r="U56" i="11"/>
  <c r="V56" i="11"/>
  <c r="W56" i="11"/>
  <c r="U64" i="12"/>
  <c r="K41" i="11"/>
  <c r="N39" i="11" s="1"/>
  <c r="AC59" i="11" l="1"/>
  <c r="Q59" i="11"/>
  <c r="W59" i="11"/>
  <c r="P59" i="11"/>
  <c r="U59" i="11"/>
  <c r="R59" i="11"/>
  <c r="V59" i="11"/>
  <c r="T59" i="11"/>
  <c r="K66" i="12"/>
  <c r="B66" i="13" s="1"/>
  <c r="C67" i="12"/>
  <c r="AC41" i="11"/>
  <c r="R41" i="11"/>
  <c r="Q41" i="11"/>
  <c r="P41" i="11"/>
  <c r="T41" i="11"/>
  <c r="S41" i="11"/>
  <c r="U41" i="11"/>
  <c r="V41" i="11"/>
  <c r="W41" i="11"/>
  <c r="K67" i="12" l="1"/>
  <c r="B67" i="13" s="1"/>
  <c r="C68" i="12"/>
  <c r="K68" i="12" l="1"/>
  <c r="B68" i="13" s="1"/>
  <c r="C69" i="12"/>
  <c r="K69" i="12" l="1"/>
  <c r="B69" i="13" s="1"/>
  <c r="C70" i="12"/>
  <c r="K70" i="12" l="1"/>
  <c r="B70" i="13" s="1"/>
  <c r="C71" i="12"/>
  <c r="K71" i="12" l="1"/>
  <c r="B71" i="13" s="1"/>
  <c r="C72" i="12"/>
  <c r="K72" i="12" l="1"/>
  <c r="B72" i="13" s="1"/>
  <c r="C73" i="12"/>
  <c r="C74" i="12" l="1"/>
  <c r="K73" i="12"/>
  <c r="B73" i="13" s="1"/>
  <c r="K74" i="12" l="1"/>
  <c r="B74" i="13" s="1"/>
  <c r="C75" i="12"/>
  <c r="C76" i="12" l="1"/>
  <c r="K75" i="12"/>
  <c r="B75" i="13" s="1"/>
  <c r="K76" i="12" l="1"/>
  <c r="B76" i="13" s="1"/>
  <c r="C77" i="12"/>
  <c r="K77" i="12" l="1"/>
  <c r="B77" i="13" s="1"/>
  <c r="C78" i="12"/>
  <c r="C79" i="12" l="1"/>
  <c r="K78" i="12"/>
  <c r="B78" i="13" s="1"/>
  <c r="K79" i="12" l="1"/>
  <c r="B79" i="13" s="1"/>
  <c r="C80" i="12"/>
  <c r="K80" i="12" l="1"/>
  <c r="C81" i="12"/>
  <c r="B80" i="13" l="1"/>
  <c r="L42" i="11"/>
  <c r="K81" i="12"/>
  <c r="C82" i="12"/>
  <c r="K82" i="12" l="1"/>
  <c r="B82" i="13" s="1"/>
  <c r="C83" i="12"/>
  <c r="L45" i="11"/>
  <c r="B81" i="13"/>
  <c r="C84" i="12" l="1"/>
  <c r="K83" i="12"/>
  <c r="B83" i="13" s="1"/>
  <c r="K84" i="12" l="1"/>
  <c r="B84" i="13" s="1"/>
  <c r="C85" i="12"/>
  <c r="C86" i="12" l="1"/>
  <c r="K85" i="12"/>
  <c r="B85" i="13" s="1"/>
  <c r="K86" i="12" l="1"/>
  <c r="B86" i="13" s="1"/>
  <c r="C87" i="12"/>
  <c r="K87" i="12" l="1"/>
  <c r="C88" i="12"/>
  <c r="B87" i="13" l="1"/>
  <c r="L48" i="11"/>
  <c r="C89" i="12"/>
  <c r="K88" i="12"/>
  <c r="B88" i="13" s="1"/>
  <c r="K89" i="12" l="1"/>
  <c r="B89" i="13" s="1"/>
  <c r="C90" i="12"/>
  <c r="K90" i="12" l="1"/>
  <c r="B90" i="13" s="1"/>
  <c r="C91" i="12"/>
  <c r="K91" i="12" l="1"/>
  <c r="C92" i="12"/>
  <c r="I40" i="12"/>
  <c r="H40" i="12"/>
  <c r="I30" i="12"/>
  <c r="I13" i="12"/>
  <c r="K92" i="12" l="1"/>
  <c r="B92" i="13" s="1"/>
  <c r="C93" i="12"/>
  <c r="L51" i="11"/>
  <c r="B91" i="13"/>
  <c r="B40" i="12"/>
  <c r="T40" i="12" s="1"/>
  <c r="K32" i="11" s="1"/>
  <c r="N30" i="11" s="1"/>
  <c r="K93" i="12" l="1"/>
  <c r="B93" i="13" s="1"/>
  <c r="C94" i="12"/>
  <c r="V32" i="11"/>
  <c r="Q32" i="11"/>
  <c r="W32" i="11"/>
  <c r="P32" i="11"/>
  <c r="AC32" i="11"/>
  <c r="S32" i="11"/>
  <c r="U32" i="11"/>
  <c r="T32" i="11"/>
  <c r="R32" i="11"/>
  <c r="K29" i="11"/>
  <c r="N27" i="11" s="1"/>
  <c r="U40" i="12"/>
  <c r="K94" i="12" l="1"/>
  <c r="B94" i="13" s="1"/>
  <c r="C95" i="12"/>
  <c r="R29" i="11"/>
  <c r="S29" i="11"/>
  <c r="AC29" i="11"/>
  <c r="T29" i="11"/>
  <c r="Q29" i="11"/>
  <c r="U29" i="11"/>
  <c r="W29" i="11"/>
  <c r="P29" i="11"/>
  <c r="V29" i="11"/>
  <c r="C96" i="12" l="1"/>
  <c r="K95" i="12"/>
  <c r="B95" i="13" s="1"/>
  <c r="C97" i="12" l="1"/>
  <c r="K96" i="12"/>
  <c r="B96" i="13" s="1"/>
  <c r="K97" i="12" l="1"/>
  <c r="B97" i="13" s="1"/>
  <c r="C98" i="12"/>
  <c r="C99" i="12" l="1"/>
  <c r="K98" i="12"/>
  <c r="L54" i="11" l="1"/>
  <c r="B98" i="13"/>
  <c r="C100" i="12"/>
  <c r="K99" i="12"/>
  <c r="B99" i="13" s="1"/>
  <c r="K100" i="12" l="1"/>
  <c r="B100" i="13" s="1"/>
  <c r="C101" i="12"/>
  <c r="C102" i="12" l="1"/>
  <c r="K101" i="12"/>
  <c r="B101" i="13" s="1"/>
  <c r="K102" i="12" l="1"/>
  <c r="B102" i="13" s="1"/>
  <c r="C103" i="12"/>
  <c r="K103" i="12" l="1"/>
  <c r="B103" i="13" s="1"/>
  <c r="C104" i="12"/>
  <c r="K104" i="12" l="1"/>
  <c r="B104" i="13" s="1"/>
  <c r="C105" i="12"/>
  <c r="K105" i="12" l="1"/>
  <c r="B105" i="13" s="1"/>
  <c r="C106" i="12"/>
  <c r="K106" i="12" l="1"/>
  <c r="B106" i="13" s="1"/>
  <c r="C107" i="12"/>
  <c r="C108" i="12" l="1"/>
  <c r="C109" i="12" s="1"/>
  <c r="K109" i="12" s="1"/>
  <c r="B109" i="13" s="1"/>
  <c r="K107" i="12"/>
  <c r="B107" i="13" s="1"/>
  <c r="K108" i="12" l="1"/>
  <c r="B108" i="13" s="1"/>
  <c r="C110" i="12"/>
  <c r="I25" i="12"/>
  <c r="C111" i="12" l="1"/>
  <c r="K110" i="12"/>
  <c r="B110" i="13" l="1"/>
  <c r="L57" i="11"/>
  <c r="C112" i="12"/>
  <c r="K111" i="12"/>
  <c r="B111" i="13" s="1"/>
  <c r="C113" i="12" l="1"/>
  <c r="K112" i="12"/>
  <c r="B112" i="13" s="1"/>
  <c r="S21" i="11"/>
  <c r="T21" i="11"/>
  <c r="P22" i="11"/>
  <c r="V21" i="11"/>
  <c r="U21" i="11"/>
  <c r="R21" i="11"/>
  <c r="W21" i="11"/>
  <c r="AC21" i="11"/>
  <c r="AC22" i="11" s="1"/>
  <c r="K113" i="12" l="1"/>
  <c r="B113" i="13" s="1"/>
  <c r="C114" i="12"/>
  <c r="Q22" i="11"/>
  <c r="C115" i="12" l="1"/>
  <c r="K114" i="12"/>
  <c r="B114" i="13" s="1"/>
  <c r="R22" i="11"/>
  <c r="C116" i="12" l="1"/>
  <c r="K115" i="12"/>
  <c r="B115" i="13" s="1"/>
  <c r="S22" i="11"/>
  <c r="K116" i="12" l="1"/>
  <c r="B116" i="13" s="1"/>
  <c r="C117" i="12"/>
  <c r="T22" i="11"/>
  <c r="K117" i="12" l="1"/>
  <c r="B117" i="13" s="1"/>
  <c r="C118" i="12"/>
  <c r="U22" i="11"/>
  <c r="I80" i="12" l="1"/>
  <c r="K118" i="12"/>
  <c r="C119" i="12"/>
  <c r="V22" i="11"/>
  <c r="K119" i="12" l="1"/>
  <c r="B119" i="13" s="1"/>
  <c r="C120" i="12"/>
  <c r="L60" i="11"/>
  <c r="B118" i="13"/>
  <c r="W22" i="11"/>
  <c r="K120" i="12" l="1"/>
  <c r="B120" i="13" s="1"/>
  <c r="C121" i="12"/>
  <c r="K121" i="12" l="1"/>
  <c r="B121" i="13" s="1"/>
  <c r="C122" i="12"/>
  <c r="D34" i="13"/>
  <c r="C34" i="13"/>
  <c r="C35" i="13"/>
  <c r="D35" i="13"/>
  <c r="C33" i="13"/>
  <c r="D33" i="13"/>
  <c r="K122" i="12" l="1"/>
  <c r="B122" i="13" s="1"/>
  <c r="C123" i="12"/>
  <c r="C124" i="12" l="1"/>
  <c r="K123" i="12"/>
  <c r="B123" i="13" s="1"/>
  <c r="K124" i="12" l="1"/>
  <c r="B124" i="13" s="1"/>
  <c r="C125" i="12"/>
  <c r="D39" i="13"/>
  <c r="C49" i="13"/>
  <c r="D49" i="13"/>
  <c r="C18" i="13"/>
  <c r="D18" i="13"/>
  <c r="C96" i="13"/>
  <c r="D96" i="13"/>
  <c r="C86" i="13"/>
  <c r="D86" i="13"/>
  <c r="C65" i="13"/>
  <c r="C39" i="13"/>
  <c r="D65" i="13"/>
  <c r="K125" i="12" l="1"/>
  <c r="B125" i="13" s="1"/>
  <c r="C126" i="12"/>
  <c r="D67" i="13"/>
  <c r="C104" i="13"/>
  <c r="C37" i="13"/>
  <c r="C106" i="13"/>
  <c r="C69" i="13"/>
  <c r="C67" i="13"/>
  <c r="D112" i="13"/>
  <c r="D104" i="13"/>
  <c r="C117" i="13"/>
  <c r="C26" i="13"/>
  <c r="C112" i="13"/>
  <c r="C68" i="13"/>
  <c r="D117" i="13"/>
  <c r="C116" i="13"/>
  <c r="C73" i="13"/>
  <c r="D106" i="13"/>
  <c r="D26" i="13"/>
  <c r="C57" i="13"/>
  <c r="C105" i="13"/>
  <c r="D116" i="13"/>
  <c r="C72" i="13"/>
  <c r="C15" i="13"/>
  <c r="D105" i="13"/>
  <c r="D113" i="13"/>
  <c r="D68" i="13"/>
  <c r="D76" i="13"/>
  <c r="D75" i="13"/>
  <c r="D73" i="13"/>
  <c r="D72" i="13"/>
  <c r="C74" i="13"/>
  <c r="D57" i="13"/>
  <c r="C76" i="13"/>
  <c r="C75" i="13"/>
  <c r="D74" i="13"/>
  <c r="D15" i="13"/>
  <c r="C111" i="13"/>
  <c r="C42" i="13"/>
  <c r="C113" i="13"/>
  <c r="C66" i="13"/>
  <c r="C89" i="13"/>
  <c r="D56" i="13"/>
  <c r="C58" i="13"/>
  <c r="C29" i="13"/>
  <c r="D111" i="13"/>
  <c r="D42" i="13"/>
  <c r="D66" i="13"/>
  <c r="D89" i="13"/>
  <c r="D37" i="13"/>
  <c r="C56" i="13"/>
  <c r="D58" i="13"/>
  <c r="D69" i="13"/>
  <c r="D29" i="13"/>
  <c r="C127" i="12" l="1"/>
  <c r="K126" i="12"/>
  <c r="B126" i="13" s="1"/>
  <c r="K127" i="12" l="1"/>
  <c r="B127" i="13" s="1"/>
  <c r="C128" i="12"/>
  <c r="C129" i="12" l="1"/>
  <c r="C130" i="12" s="1"/>
  <c r="K130" i="12" s="1"/>
  <c r="B130" i="13" s="1"/>
  <c r="K128" i="12"/>
  <c r="B128" i="13" s="1"/>
  <c r="D77" i="13"/>
  <c r="X18" i="12"/>
  <c r="X39" i="12"/>
  <c r="X65" i="12"/>
  <c r="X96" i="12"/>
  <c r="X49" i="12"/>
  <c r="X86" i="12"/>
  <c r="K129" i="12" l="1"/>
  <c r="B129" i="13" s="1"/>
  <c r="C131" i="12"/>
  <c r="C77" i="13"/>
  <c r="C24" i="13"/>
  <c r="D24" i="13"/>
  <c r="D23" i="13"/>
  <c r="C23" i="13"/>
  <c r="X89" i="12"/>
  <c r="X82" i="12"/>
  <c r="X22" i="12"/>
  <c r="X112" i="12"/>
  <c r="X68" i="12"/>
  <c r="X76" i="12"/>
  <c r="X24" i="12"/>
  <c r="X75" i="12"/>
  <c r="X93" i="12"/>
  <c r="X99" i="12"/>
  <c r="X32" i="12"/>
  <c r="X78" i="12"/>
  <c r="X120" i="12"/>
  <c r="X46" i="12"/>
  <c r="X48" i="12"/>
  <c r="X28" i="12"/>
  <c r="X92" i="12"/>
  <c r="X34" i="12"/>
  <c r="X104" i="12"/>
  <c r="X117" i="12"/>
  <c r="X123" i="12"/>
  <c r="X29" i="12"/>
  <c r="X103" i="12"/>
  <c r="X95" i="12"/>
  <c r="X69" i="12"/>
  <c r="X16" i="12"/>
  <c r="X54" i="12"/>
  <c r="X133" i="12"/>
  <c r="X79" i="12"/>
  <c r="X132" i="12"/>
  <c r="X42" i="12"/>
  <c r="X90" i="12"/>
  <c r="X70" i="12"/>
  <c r="X36" i="12"/>
  <c r="X126" i="12"/>
  <c r="X57" i="12"/>
  <c r="X107" i="12"/>
  <c r="X33" i="12"/>
  <c r="X114" i="12"/>
  <c r="X125" i="12"/>
  <c r="X74" i="12"/>
  <c r="X55" i="12"/>
  <c r="X83" i="12"/>
  <c r="X23" i="12"/>
  <c r="X119" i="12"/>
  <c r="X15" i="12"/>
  <c r="X129" i="12"/>
  <c r="X17" i="12"/>
  <c r="X94" i="12"/>
  <c r="X101" i="12"/>
  <c r="X88" i="12"/>
  <c r="X127" i="12"/>
  <c r="X21" i="12"/>
  <c r="X113" i="12"/>
  <c r="X41" i="12"/>
  <c r="X56" i="12"/>
  <c r="X35" i="12"/>
  <c r="X77" i="12"/>
  <c r="X85" i="12"/>
  <c r="X105" i="12"/>
  <c r="X59" i="12"/>
  <c r="X53" i="12"/>
  <c r="X47" i="12"/>
  <c r="X72" i="12"/>
  <c r="X37" i="12"/>
  <c r="X116" i="12"/>
  <c r="X19" i="12"/>
  <c r="X45" i="12"/>
  <c r="X71" i="12"/>
  <c r="X27" i="12"/>
  <c r="X67" i="12"/>
  <c r="X20" i="12"/>
  <c r="X128" i="12"/>
  <c r="X106" i="12"/>
  <c r="X38" i="12"/>
  <c r="X66" i="12"/>
  <c r="X58" i="12"/>
  <c r="X84" i="12"/>
  <c r="X26" i="12"/>
  <c r="X115" i="12"/>
  <c r="X43" i="12"/>
  <c r="X122" i="12"/>
  <c r="X14" i="12"/>
  <c r="X111" i="12"/>
  <c r="X100" i="12"/>
  <c r="X51" i="12"/>
  <c r="X124" i="12"/>
  <c r="X52" i="12"/>
  <c r="X73" i="12"/>
  <c r="X102" i="12"/>
  <c r="X121" i="12"/>
  <c r="K131" i="12" l="1"/>
  <c r="C132" i="12"/>
  <c r="I118" i="12"/>
  <c r="D79" i="13"/>
  <c r="C79" i="13"/>
  <c r="D78" i="13"/>
  <c r="C78" i="13"/>
  <c r="D107" i="13"/>
  <c r="C107" i="13"/>
  <c r="D59" i="13"/>
  <c r="C59" i="13"/>
  <c r="Y77" i="12"/>
  <c r="U77" i="12" s="1"/>
  <c r="Y45" i="12"/>
  <c r="U45" i="12" s="1"/>
  <c r="Y92" i="12"/>
  <c r="U92" i="12" s="1"/>
  <c r="Y69" i="12"/>
  <c r="Y95" i="12"/>
  <c r="Y26" i="12"/>
  <c r="Y102" i="12"/>
  <c r="Y73" i="12"/>
  <c r="Y52" i="12"/>
  <c r="Y20" i="12"/>
  <c r="Y35" i="12"/>
  <c r="Y21" i="12"/>
  <c r="Y127" i="12"/>
  <c r="Y125" i="12"/>
  <c r="Y78" i="12"/>
  <c r="Y32" i="12"/>
  <c r="Y66" i="12"/>
  <c r="Y38" i="12"/>
  <c r="Y106" i="12"/>
  <c r="Y128" i="12"/>
  <c r="Y33" i="12"/>
  <c r="Y115" i="12"/>
  <c r="Y55" i="12"/>
  <c r="Y74" i="12"/>
  <c r="Y133" i="12"/>
  <c r="Y121" i="12"/>
  <c r="Y37" i="12"/>
  <c r="Y53" i="12"/>
  <c r="Y59" i="12"/>
  <c r="Y105" i="12"/>
  <c r="Y85" i="12"/>
  <c r="Y23" i="12"/>
  <c r="Y83" i="12"/>
  <c r="Y132" i="12"/>
  <c r="Y79" i="12"/>
  <c r="Y46" i="12"/>
  <c r="Y84" i="12"/>
  <c r="Y58" i="12"/>
  <c r="Y19" i="12"/>
  <c r="Y54" i="12"/>
  <c r="Y120" i="12"/>
  <c r="Y119" i="12"/>
  <c r="Y90" i="12"/>
  <c r="Y42" i="12"/>
  <c r="Y28" i="12"/>
  <c r="Y48" i="12"/>
  <c r="Y89" i="12"/>
  <c r="Y72" i="12"/>
  <c r="Y43" i="12"/>
  <c r="Y17" i="12"/>
  <c r="Y129" i="12"/>
  <c r="Y15" i="12"/>
  <c r="Y70" i="12"/>
  <c r="Y34" i="12"/>
  <c r="Y112" i="12"/>
  <c r="Y22" i="12"/>
  <c r="Y82" i="12"/>
  <c r="Y122" i="12"/>
  <c r="Y114" i="12"/>
  <c r="Y107" i="12"/>
  <c r="Y57" i="12"/>
  <c r="Y126" i="12"/>
  <c r="Y36" i="12"/>
  <c r="Y104" i="12"/>
  <c r="Y68" i="12"/>
  <c r="Y100" i="12"/>
  <c r="Y111" i="12"/>
  <c r="Y14" i="12"/>
  <c r="Y116" i="12"/>
  <c r="Y103" i="12"/>
  <c r="Y29" i="12"/>
  <c r="Y123" i="12"/>
  <c r="Y117" i="12"/>
  <c r="Y76" i="12"/>
  <c r="Y51" i="12"/>
  <c r="Y27" i="12"/>
  <c r="Y71" i="12"/>
  <c r="Y113" i="12"/>
  <c r="Y16" i="12"/>
  <c r="Y99" i="12"/>
  <c r="Y93" i="12"/>
  <c r="Y75" i="12"/>
  <c r="Y24" i="12"/>
  <c r="Y124" i="12"/>
  <c r="Y67" i="12"/>
  <c r="Y56" i="12"/>
  <c r="Y41" i="12"/>
  <c r="Y88" i="12"/>
  <c r="K132" i="12" l="1"/>
  <c r="B132" i="13" s="1"/>
  <c r="C133" i="12"/>
  <c r="B131" i="13"/>
  <c r="L63" i="11"/>
  <c r="U88" i="12"/>
  <c r="U41" i="12"/>
  <c r="U56" i="12"/>
  <c r="U67" i="12"/>
  <c r="U124" i="12"/>
  <c r="U24" i="12"/>
  <c r="U75" i="12"/>
  <c r="U93" i="12"/>
  <c r="U99" i="12"/>
  <c r="U16" i="12"/>
  <c r="U113" i="12"/>
  <c r="U71" i="12"/>
  <c r="U27" i="12"/>
  <c r="U51" i="12"/>
  <c r="U76" i="12"/>
  <c r="U117" i="12"/>
  <c r="U123" i="12"/>
  <c r="U29" i="12"/>
  <c r="U103" i="12"/>
  <c r="U116" i="12"/>
  <c r="U14" i="12"/>
  <c r="U111" i="12"/>
  <c r="U100" i="12"/>
  <c r="U68" i="12"/>
  <c r="U104" i="12"/>
  <c r="U36" i="12"/>
  <c r="U126" i="12"/>
  <c r="U57" i="12"/>
  <c r="U107" i="12"/>
  <c r="U114" i="12"/>
  <c r="U122" i="12"/>
  <c r="U82" i="12"/>
  <c r="U22" i="12"/>
  <c r="U112" i="12"/>
  <c r="U34" i="12"/>
  <c r="U70" i="12"/>
  <c r="U15" i="12"/>
  <c r="U129" i="12"/>
  <c r="U17" i="12"/>
  <c r="U43" i="12"/>
  <c r="U72" i="12"/>
  <c r="U89" i="12"/>
  <c r="U48" i="12"/>
  <c r="U28" i="12"/>
  <c r="U42" i="12"/>
  <c r="U90" i="12"/>
  <c r="U119" i="12"/>
  <c r="U120" i="12"/>
  <c r="U54" i="12"/>
  <c r="U19" i="12"/>
  <c r="U58" i="12"/>
  <c r="U84" i="12"/>
  <c r="U46" i="12"/>
  <c r="U79" i="12"/>
  <c r="U132" i="12"/>
  <c r="U83" i="12"/>
  <c r="U23" i="12"/>
  <c r="U85" i="12"/>
  <c r="U105" i="12"/>
  <c r="U59" i="12"/>
  <c r="U53" i="12"/>
  <c r="U37" i="12"/>
  <c r="U121" i="12"/>
  <c r="U133" i="12"/>
  <c r="U74" i="12"/>
  <c r="U55" i="12"/>
  <c r="U115" i="12"/>
  <c r="U33" i="12"/>
  <c r="U128" i="12"/>
  <c r="U106" i="12"/>
  <c r="U38" i="12"/>
  <c r="U66" i="12"/>
  <c r="U32" i="12"/>
  <c r="U78" i="12"/>
  <c r="U125" i="12"/>
  <c r="U127" i="12"/>
  <c r="U21" i="12"/>
  <c r="U35" i="12"/>
  <c r="U20" i="12"/>
  <c r="U52" i="12"/>
  <c r="U73" i="12"/>
  <c r="U102" i="12"/>
  <c r="U26" i="12"/>
  <c r="U95" i="12"/>
  <c r="U69" i="12"/>
  <c r="D94" i="13"/>
  <c r="C94" i="13"/>
  <c r="C47" i="13"/>
  <c r="D47" i="13"/>
  <c r="K133" i="12" l="1"/>
  <c r="B133" i="13" s="1"/>
  <c r="H13" i="12"/>
  <c r="B13" i="12" s="1"/>
  <c r="Y96" i="12"/>
  <c r="Y18" i="12"/>
  <c r="Y49" i="12"/>
  <c r="Y86" i="12"/>
  <c r="Y39" i="12"/>
  <c r="Y101" i="12"/>
  <c r="Y65" i="12"/>
  <c r="Y94" i="12"/>
  <c r="Y47" i="12"/>
  <c r="H30" i="12" l="1"/>
  <c r="B30" i="12" s="1"/>
  <c r="T30" i="12" s="1"/>
  <c r="U30" i="12" s="1"/>
  <c r="H131" i="12"/>
  <c r="H25" i="12"/>
  <c r="B25" i="12" s="1"/>
  <c r="T25" i="12" s="1"/>
  <c r="U25" i="12" s="1"/>
  <c r="H118" i="12"/>
  <c r="B118" i="12" s="1"/>
  <c r="T118" i="12" s="1"/>
  <c r="U118" i="12" s="1"/>
  <c r="H80" i="12"/>
  <c r="B80" i="12" s="1"/>
  <c r="T80" i="12" s="1"/>
  <c r="U80" i="12" s="1"/>
  <c r="I131" i="12"/>
  <c r="T13" i="12"/>
  <c r="U47" i="12"/>
  <c r="U94" i="12"/>
  <c r="U65" i="12"/>
  <c r="U101" i="12"/>
  <c r="U39" i="12"/>
  <c r="U86" i="12"/>
  <c r="U49" i="12"/>
  <c r="U18" i="12"/>
  <c r="U96" i="12"/>
  <c r="B131" i="12" l="1"/>
  <c r="T131" i="12" s="1"/>
  <c r="U131" i="12" s="1"/>
  <c r="K26" i="11"/>
  <c r="N24" i="11" s="1"/>
  <c r="W26" i="11" s="1"/>
  <c r="W25" i="11" s="1"/>
  <c r="K44" i="11"/>
  <c r="N42" i="11" s="1"/>
  <c r="Q44" i="11" s="1"/>
  <c r="Q43" i="11" s="1"/>
  <c r="K23" i="11"/>
  <c r="N21" i="11" s="1"/>
  <c r="V23" i="11" s="1"/>
  <c r="K62" i="11"/>
  <c r="N60" i="11" s="1"/>
  <c r="T62" i="11" s="1"/>
  <c r="U13" i="12"/>
  <c r="U5" i="12" s="1"/>
  <c r="K20" i="11"/>
  <c r="N18" i="11" s="1"/>
  <c r="K65" i="11" l="1"/>
  <c r="N63" i="11" s="1"/>
  <c r="R65" i="11" s="1"/>
  <c r="B12" i="12"/>
  <c r="T44" i="11"/>
  <c r="T43" i="11" s="1"/>
  <c r="P23" i="11"/>
  <c r="W23" i="11"/>
  <c r="R23" i="11"/>
  <c r="S23" i="11"/>
  <c r="T23" i="11"/>
  <c r="W44" i="11"/>
  <c r="W43" i="11" s="1"/>
  <c r="V44" i="11"/>
  <c r="V43" i="11" s="1"/>
  <c r="R44" i="11"/>
  <c r="R43" i="11" s="1"/>
  <c r="R42" i="11" s="1"/>
  <c r="P44" i="11"/>
  <c r="P43" i="11" s="1"/>
  <c r="P42" i="11" s="1"/>
  <c r="S44" i="11"/>
  <c r="S43" i="11" s="1"/>
  <c r="AC44" i="11"/>
  <c r="AC43" i="11" s="1"/>
  <c r="AC42" i="11" s="1"/>
  <c r="U44" i="11"/>
  <c r="U43" i="11" s="1"/>
  <c r="U26" i="11"/>
  <c r="U25" i="11" s="1"/>
  <c r="T26" i="11"/>
  <c r="T25" i="11" s="1"/>
  <c r="V26" i="11"/>
  <c r="V25" i="11" s="1"/>
  <c r="W24" i="11" s="1"/>
  <c r="R26" i="11"/>
  <c r="R25" i="11" s="1"/>
  <c r="S26" i="11"/>
  <c r="S25" i="11" s="1"/>
  <c r="S62" i="11"/>
  <c r="AC26" i="11"/>
  <c r="AC25" i="11" s="1"/>
  <c r="AC24" i="11" s="1"/>
  <c r="V62" i="11"/>
  <c r="P26" i="11"/>
  <c r="P25" i="11" s="1"/>
  <c r="Q62" i="11"/>
  <c r="AC62" i="11"/>
  <c r="Q26" i="11"/>
  <c r="Q25" i="11" s="1"/>
  <c r="R62" i="11"/>
  <c r="Q23" i="11"/>
  <c r="U62" i="11"/>
  <c r="W62" i="11"/>
  <c r="P62" i="11"/>
  <c r="U23" i="11"/>
  <c r="AC23" i="11"/>
  <c r="R20" i="11"/>
  <c r="T20" i="11"/>
  <c r="V20" i="11"/>
  <c r="Q20" i="11"/>
  <c r="S20" i="11"/>
  <c r="P20" i="11"/>
  <c r="W20" i="11"/>
  <c r="AC20" i="11"/>
  <c r="U20" i="11"/>
  <c r="U65" i="11" l="1"/>
  <c r="U17" i="11" s="1"/>
  <c r="U16" i="11" s="1"/>
  <c r="W65" i="11"/>
  <c r="W17" i="11" s="1"/>
  <c r="W16" i="11" s="1"/>
  <c r="S65" i="11"/>
  <c r="S17" i="11" s="1"/>
  <c r="T65" i="11"/>
  <c r="Q65" i="11"/>
  <c r="Q17" i="11" s="1"/>
  <c r="AC65" i="11"/>
  <c r="AC17" i="11" s="1"/>
  <c r="AC16" i="11" s="1"/>
  <c r="V65" i="11"/>
  <c r="V17" i="11" s="1"/>
  <c r="P65" i="11"/>
  <c r="P17" i="11" s="1"/>
  <c r="P15" i="11" s="1"/>
  <c r="P14" i="11" s="1"/>
  <c r="T42" i="11"/>
  <c r="W42" i="11"/>
  <c r="U42" i="11"/>
  <c r="Q42" i="11"/>
  <c r="T17" i="11"/>
  <c r="T16" i="11" s="1"/>
  <c r="V42" i="11"/>
  <c r="S42" i="11"/>
  <c r="U24" i="11"/>
  <c r="S24" i="11"/>
  <c r="V24" i="11"/>
  <c r="R17" i="11"/>
  <c r="R16" i="11" s="1"/>
  <c r="T24" i="11"/>
  <c r="T15" i="11" l="1"/>
  <c r="T14" i="11" s="1"/>
  <c r="V15" i="11"/>
  <c r="V14" i="11" s="1"/>
  <c r="U15" i="11"/>
  <c r="U14" i="11" s="1"/>
  <c r="AC15" i="11"/>
  <c r="AC14" i="11" s="1"/>
  <c r="S16" i="11"/>
  <c r="V16" i="11"/>
  <c r="P16" i="11"/>
  <c r="S15" i="11"/>
  <c r="S14" i="11" s="1"/>
  <c r="R15" i="11"/>
  <c r="R14" i="11" s="1"/>
  <c r="W15" i="11"/>
  <c r="W14" i="11" s="1"/>
  <c r="L8" i="11"/>
  <c r="Q16" i="11"/>
  <c r="Q15" i="11"/>
  <c r="Q14" i="11" s="1"/>
</calcChain>
</file>

<file path=xl/sharedStrings.xml><?xml version="1.0" encoding="utf-8"?>
<sst xmlns="http://schemas.openxmlformats.org/spreadsheetml/2006/main" count="1098" uniqueCount="425">
  <si>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</si>
  <si>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</si>
  <si>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</si>
  <si>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</si>
  <si>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</si>
  <si>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</si>
  <si>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</si>
  <si>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</si>
  <si>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</si>
  <si>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</si>
  <si>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</si>
  <si>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</si>
  <si>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</si>
  <si>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</si>
  <si>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</si>
  <si>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</si>
  <si>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</si>
  <si>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</si>
  <si>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</si>
  <si>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</si>
  <si>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</si>
  <si>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</si>
  <si>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</si>
  <si>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</si>
  <si>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</si>
  <si>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</si>
  <si>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</si>
  <si>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</si>
  <si>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</si>
  <si>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</si>
  <si>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</si>
  <si>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</si>
  <si>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</si>
  <si>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</si>
  <si>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</si>
  <si>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</si>
  <si>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</si>
  <si>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</si>
  <si>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</si>
  <si>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</si>
  <si>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</si>
  <si>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</si>
  <si>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</si>
  <si>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</si>
  <si>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</si>
  <si>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</si>
  <si>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</si>
  <si>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</si>
  <si>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</si>
  <si>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</si>
  <si>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</si>
  <si>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</si>
  <si>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</si>
  <si>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</si>
  <si>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</si>
  <si>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</si>
  <si>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</si>
  <si>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</si>
  <si>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</si>
  <si>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</si>
  <si>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</si>
  <si>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</si>
  <si>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</si>
  <si>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</si>
  <si>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</si>
  <si>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</si>
  <si>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</si>
  <si>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</si>
  <si>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</si>
  <si>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</si>
  <si>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</si>
  <si>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</si>
  <si>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</si>
  <si>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</si>
  <si>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</si>
  <si>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</si>
  <si>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</si>
  <si>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</si>
  <si>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</si>
  <si>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</si>
  <si>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</si>
  <si>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</si>
  <si>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</si>
  <si>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</si>
  <si>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</si>
  <si>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</si>
  <si>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</si>
  <si>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</si>
  <si>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</si>
  <si>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</si>
  <si>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</si>
  <si>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</si>
  <si>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</si>
  <si>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</si>
  <si>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</si>
  <si>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</si>
  <si>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</si>
  <si>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</si>
  <si>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</si>
  <si>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</si>
  <si>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</si>
  <si>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</si>
  <si>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</si>
  <si>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</si>
  <si>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</si>
  <si>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</si>
  <si>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</si>
  <si>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</si>
  <si>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</si>
  <si>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</si>
  <si>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</si>
  <si>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</si>
  <si>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</si>
  <si>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</si>
  <si>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</si>
  <si>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</si>
  <si>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</si>
  <si>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</si>
  <si>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</si>
  <si>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</si>
  <si>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</si>
  <si>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</si>
  <si>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</si>
  <si>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</si>
  <si>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</si>
  <si>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</si>
  <si>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</si>
  <si>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</si>
  <si>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</si>
  <si>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</si>
  <si>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</si>
  <si>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</si>
  <si>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</si>
  <si>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</si>
  <si>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</si>
  <si>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</si>
  <si>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</si>
  <si>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</si>
  <si>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</si>
  <si>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</si>
  <si>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</si>
  <si>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</si>
  <si>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</si>
  <si>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</si>
  <si>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</si>
  <si>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</si>
  <si>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</si>
  <si>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</si>
  <si>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</si>
  <si>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</si>
  <si>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</si>
  <si>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</si>
  <si>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</si>
  <si>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</si>
  <si>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</si>
  <si>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</si>
  <si>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</si>
  <si>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</si>
  <si>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</si>
  <si>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</si>
  <si>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</si>
  <si>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</si>
  <si>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</si>
  <si>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</si>
  <si>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</si>
  <si>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</si>
  <si>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</si>
  <si>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</si>
  <si>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</si>
  <si>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</si>
  <si>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</si>
  <si>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</si>
  <si>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</si>
  <si>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</si>
  <si>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</si>
  <si>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</si>
  <si>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</si>
  <si>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</si>
  <si>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</si>
  <si>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</si>
  <si>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</si>
  <si>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</si>
  <si>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</si>
  <si>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</si>
  <si>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</si>
  <si>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</si>
  <si>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</si>
  <si>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</si>
  <si>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</si>
  <si>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</si>
  <si>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</si>
  <si>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</si>
  <si>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</si>
  <si>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</si>
  <si>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</si>
  <si>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</si>
  <si>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</si>
  <si>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</si>
  <si>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</si>
  <si>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</si>
  <si>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</si>
  <si>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</si>
  <si>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</si>
  <si>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</si>
  <si>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</si>
  <si>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</si>
  <si>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</si>
  <si>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</si>
  <si>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</si>
  <si>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</si>
  <si>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</si>
  <si>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</si>
  <si>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</si>
  <si>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</si>
  <si>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</si>
  <si>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</si>
  <si>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</si>
  <si>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</si>
  <si>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</si>
  <si>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</si>
  <si>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</si>
  <si>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</si>
  <si>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</si>
  <si>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</si>
  <si>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</si>
  <si>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</si>
  <si>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</si>
  <si>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</si>
  <si>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</si>
  <si>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MUNICÍPIO DE GUAPORÉ/RS</t>
  </si>
  <si>
    <t>GUAPORÉ/RS</t>
  </si>
  <si>
    <t>Não</t>
  </si>
  <si>
    <t>NÃO</t>
  </si>
  <si>
    <t>RICARDO PEDROSO DE FARIAS</t>
  </si>
  <si>
    <t>ENGENHEIRO CIVIL</t>
  </si>
  <si>
    <t>RS215262</t>
  </si>
  <si>
    <t>VALDIR CARLOS FABRIS</t>
  </si>
  <si>
    <t>PREFEITO MUNICIPAL</t>
  </si>
  <si>
    <t>SINAPI</t>
  </si>
  <si>
    <t>4813</t>
  </si>
  <si>
    <t>SINAPI-I</t>
  </si>
  <si>
    <t>93368</t>
  </si>
  <si>
    <t xml:space="preserve">M2    </t>
  </si>
  <si>
    <t>M2</t>
  </si>
  <si>
    <t>M3</t>
  </si>
  <si>
    <t>UN</t>
  </si>
  <si>
    <t>M</t>
  </si>
  <si>
    <t>SERVIÇOS INICIAIS</t>
  </si>
  <si>
    <t>PAVIMENTAÇÃO</t>
  </si>
  <si>
    <t>MURO DE CONTENÇÃO</t>
  </si>
  <si>
    <t>SERVIÇOS FINAIS</t>
  </si>
  <si>
    <t>83336</t>
  </si>
  <si>
    <t>96535</t>
  </si>
  <si>
    <t>92419</t>
  </si>
  <si>
    <t>100341</t>
  </si>
  <si>
    <t>96617</t>
  </si>
  <si>
    <t>100344</t>
  </si>
  <si>
    <t>92779</t>
  </si>
  <si>
    <t>92776</t>
  </si>
  <si>
    <t>96558</t>
  </si>
  <si>
    <t>100349</t>
  </si>
  <si>
    <t xml:space="preserve">UN    </t>
  </si>
  <si>
    <t>ESCAVACAO MECANICA PARA ACERTO DE TALUDES, EM MATERIAL DE 1A CATEGORIA, COM ESCAVADEIRA HIDRAULICA</t>
  </si>
  <si>
    <t>KG</t>
  </si>
  <si>
    <t>CONSTRUÇÃO DO GINÁSIO DE ESPORTE MUNICIPAL MULTIUSO – 5ª ETAPA – EXECUÇÃO DE PISO E REVESTIMENTOS NOS VESTIÁRIOS E SALAS NO PAVIMENTO TÉRREO, BANHEIROS DO SEGUNDO PAVIMENTO</t>
  </si>
  <si>
    <t>RUA DO NASCENTE, 1350</t>
  </si>
  <si>
    <t>GINÁSIO DE ESPORTE MUNICIPAL MULTIUSO – 5ª ETAPA</t>
  </si>
  <si>
    <t>10794667</t>
  </si>
  <si>
    <t>Única</t>
  </si>
  <si>
    <t>PAVIMENTO TÉRREO</t>
  </si>
  <si>
    <t>97082</t>
  </si>
  <si>
    <t>95241</t>
  </si>
  <si>
    <t>87260</t>
  </si>
  <si>
    <t>95969</t>
  </si>
  <si>
    <t>REVESTIMENTOS INTERNOS</t>
  </si>
  <si>
    <t>87879</t>
  </si>
  <si>
    <t>87273</t>
  </si>
  <si>
    <t>REVESTIMENTOS EXTERNOS</t>
  </si>
  <si>
    <t>87775</t>
  </si>
  <si>
    <t>95305</t>
  </si>
  <si>
    <t>DIVISÓRIAS E ESQUADRIAS</t>
  </si>
  <si>
    <t>91341</t>
  </si>
  <si>
    <t>98689</t>
  </si>
  <si>
    <t>EQUIPAMENTO SANITÁRIO</t>
  </si>
  <si>
    <t>86931</t>
  </si>
  <si>
    <t>95472</t>
  </si>
  <si>
    <t>100860</t>
  </si>
  <si>
    <t>93396</t>
  </si>
  <si>
    <t>86942</t>
  </si>
  <si>
    <t>INSTALAÇÕES DE ÁGUA FRIA E ESGOTO SANITÁRIO</t>
  </si>
  <si>
    <t>89957</t>
  </si>
  <si>
    <t>89709</t>
  </si>
  <si>
    <t>SEGUNDO PAVIMENTO - BANHEIROS</t>
  </si>
  <si>
    <t>87765</t>
  </si>
  <si>
    <t>ESQUADRIAS E DIVISÓRIAS</t>
  </si>
  <si>
    <t>86939</t>
  </si>
  <si>
    <t>99803</t>
  </si>
  <si>
    <t>99806</t>
  </si>
  <si>
    <t>99814</t>
  </si>
  <si>
    <t>97624</t>
  </si>
  <si>
    <t>97631</t>
  </si>
  <si>
    <t>72131</t>
  </si>
  <si>
    <t>72897</t>
  </si>
  <si>
    <t>72899</t>
  </si>
  <si>
    <t>DIVISORIA EM GRANITO, COM DUAS FACES POLIDAS, TIPO ANDORINHA/ QUARTZ/ CASTELO/ CORUMBA OU OUTROS EQUIVALENTES DA REGIAO, E=  *3,0* CM</t>
  </si>
  <si>
    <t>PLACA DE OBRA EM CHAPA GALVANIZADA *N. 22*, ADESIVADA</t>
  </si>
  <si>
    <t>LIMPEZA DE PAREDES COM JATO DE ALTA PRESSÃO.</t>
  </si>
  <si>
    <t>DEMOLIÇÃO DE ALVENARIA DE TIJOLO MACIÇO, DE FORMA MANUAL, SEM REAPROVEITAMENTO.</t>
  </si>
  <si>
    <t>ALVENARIA EM TIJOLO CERAMICO MACICO 5X10X20CM (ESPESSURA 20CM), ASSENTADO COM ARGAMASSA TRACO 1:2:8 (CIMENTO, CAL E AREIA)</t>
  </si>
  <si>
    <t>TRANSPORTE DE ENTULHO COM CAMINHÃO BASCULANTE</t>
  </si>
  <si>
    <t>CARGA MANUAL DE ENTULHO EM CAMINHAO BASCULANTE</t>
  </si>
  <si>
    <t>EMBOÇO OU MASSA ÚNICA EM ARGAMASSA TRAÇO 1:2:8, PREPARO MECÂNICO COM BETONEIRA 400 L, APLICADA MANUALMENTE EM PANOS DE FACHADA COM PRESENÇA DE VÃOS, ESPESSURA DE 25 MM.</t>
  </si>
  <si>
    <t>TEXTURA ACRÍLICA, APLICAÇÃO MANUAL EM PAREDE, UMA DEMÃO.</t>
  </si>
  <si>
    <t>ESCAVAÇÃO MANUAL DE MATERIAL PARA NIVELAMENTO DO CONTRAPISO</t>
  </si>
  <si>
    <t>LASTRO DE CONCRETO MAGRO, APLICADO EM PISOS, ESPESSURA DE 5 CM.</t>
  </si>
  <si>
    <t>REVESTIMENTO CERÂMICO PARA PISO COM PLACAS TIPO PORCELANATO DE DIMENSÕES 45X45 CM</t>
  </si>
  <si>
    <t>CHAPISCO APLICADO EM ALVENARIAS E ESTRUTURAS DE CONCRETO INTERNAS, ARGAMASSA TRAÇO 1:3</t>
  </si>
  <si>
    <t>REVESTIMENTO CERÂMICO PARA PAREDES INTERNAS COM PLACAS TIPO ESMALTADA EXTRA DE DIMENSÕES 33X45 CM NA ALTURA INTEIRA DAS PAREDES.</t>
  </si>
  <si>
    <t>PEITORIL EM GRANITO, LARGURA 15 CM, ESPESSURA 2,0 CM. AF_06/2018</t>
  </si>
  <si>
    <t>VASO SANITÁRIO SIFONADO COM CAIXA ACOPLADA LOUÇA BRANCA, INCLUSO ENGATE FLEXÍVEL EM PLÁSTICO BRANCO, 1/2  X 40CM - FORNECIMENTO E INSTALAÇÃO.</t>
  </si>
  <si>
    <t>VASO SANITARIO SIFONADO CONVENCIONAL PARA PCD SEM FURO FRONTAL COM LOUÇA BRANCA SEM ASSENTO, INCLUSO CONJUNTO DE LIGAÇÃO PARA BACIA SANITÁRIA AJUSTÁVEL - FORNECIMENTO E INSTALAÇÃO</t>
  </si>
  <si>
    <t>CHUVEIRO ELÉTRICO COMUM CORPO PLÁSTICO, TIPO DUCHA  FORNECIMENTO E INSTALAÇÃO</t>
  </si>
  <si>
    <t>BANCADA GRANITO CINZA,  50 X 60 CM, INCL. CUBA DE EMBUTIR OVAL LOUÇA BRANCA 35 X 50 CM, VÁLVULA METAL CROMADO, SIFÃO FLEXÍVEL PVC, ENGATE 30 CM FLEXÍVEL PLÁSTICO E TORNEIRA CROMADA DE MESA, PADRÃO POPULAR - FORNEC. E INSTALAÇÃO</t>
  </si>
  <si>
    <t>LAVATÓRIO LOUÇA BRANCA SUSPENSO, 29,5 X 39CM OU EQUIVALENTE, PADRÃO POPULAR, INCLUSO SIFÃO TIPO GARRAFA EM PVC, VÁLVULA E ENGATE FLEXÍVEL 30CM EM PLÁSTICO E TORNEIRA CROMADA DE MESA, PADRÃO POPULAR - FORNECIMENTO E INSTALAÇÃO</t>
  </si>
  <si>
    <t>PONTO DE CONSUMO TERMINAL DE ÁGUA FRIA (SUBRAMAL) COM TUBULAÇÃO DE PVC, DN 25 MM, INSTALADO EM RAMAL DE ÁGUA, INCLUSOS RASGO E CHUMBAMENTO EM ALVENARIA</t>
  </si>
  <si>
    <t>RALO SIFONADO, PVC, DN 100 X 40 MM, JUNTA SOLDÁVEL, FORNECIDO E INSTALADO EM RAMAL DE DESCARGA OU EM RAMAL DE ESGOTO SANITÁRIO</t>
  </si>
  <si>
    <t>98546</t>
  </si>
  <si>
    <t>IMPERMEABILIZAÇÃO DE SUPERFÍCIE COM MANTA ASFÁLTICA, UMA CAMADA, INCLUSIVE APLICAÇÃO DE PRIMER ASFÁLTICO, E=3MM</t>
  </si>
  <si>
    <t>CONTRAPISO EM ARGAMASSA TRAÇO 1:4 (CIMENTO E AREIA), PREPARO MECÂNICO COM BETONEIRA 400 L, APLICADO EM ÁREAS MOLHADAS SOBRE IMPERMEABILIZAÇÃO, ESPESSURA 4CM</t>
  </si>
  <si>
    <t>EXECUÇÃO DE ESCADA EM CONCRETO ARMADO, MOLDADA IN LOCO, FCK = 25 MPA</t>
  </si>
  <si>
    <t>LAVATÓRIO LOUÇA BRANCA COM COLUNA, *44 X 35,5* CM, PADRÃO POPULAR, INCLUSO SIFÃO FLEXÍVEL EM PVC, VÁLVULA E ENGATE FLEXÍVEL 30CM EM PLÁSTICO E COM TORNEIRA CROMADA PADRÃO POPULAR - FORNECIMENTO E INSTALAÇÃO.</t>
  </si>
  <si>
    <t>LAVATÓRIO LOUÇA BRANCA SUSPENSO, 29,5 X 39CM OU EQUIVALENTE, PADRÃO POPULAR, INCLUSO SIFÃO TIPO GARRAFA EM PVC, VÁLVULA E ENGATE FLEXÍVEL 30CM EM PLÁSTICO E TORNEIRA CROMADA DE MESA, PADRÃO POPULAR - FORNECIMENTO E INSTALAÇÃO.</t>
  </si>
  <si>
    <t>PONTO DE CONSUMO TERMINAL DE ÁGUA FRIA (SUBRAMAL) COM TUBULAÇÃO DE PVC, DN 25 MM, INSTALADO EM RAMAL DE ÁGUA, INCLUSOS RASGO E CHUMBAMENTO EM ALVENARIA.</t>
  </si>
  <si>
    <t>RALO SIFONADO, PVC, DN 100 X 40 MM, JUNTA SOLDÁVEL, FORNECIDO E INSTALADO EM RAMAL DE DESCARGA OU EM RAMAL DE ESGOTO SANITÁRIO.</t>
  </si>
  <si>
    <t>FABRICAÇÃO, MONTAGEM E DESMONTAGEM DE FÔRMA PARA SAPATA, EM MADEIRA SERRADA, E=25 MM</t>
  </si>
  <si>
    <t>MONTAGEM E DESMONTAGEM DE FÔRMA DE PILARES RETANGULARES E ESTRUTURAS SIMILARES COM ÁREA MÉDIA DAS SEÇÕES MAIOR QUE 0,25 M², PÉ-DIREITO SIMPLES, EM CHAPA DE MADEIRA COMPENSADA RESINADA</t>
  </si>
  <si>
    <t>FABRICAÇÃO, MONTAGEM E DESMONTAGEM DE FÔRMA PARA CORTINA DE CONTENÇÃO, EM CHAPA DE MADEIRA COMPENSADA PLASTIFICADA, E = 18 MM</t>
  </si>
  <si>
    <t>LASTRO DE CONCRETO MAGRO, APLICADO EM BLOCOS DE COROAMENTO OU SAPATAS, ESPESSURA DE 3 CM</t>
  </si>
  <si>
    <t>ARMAÇÃO DE CORTINA DE CONTENÇÃO EM CONCRETO ARMADO, COM AÇO CA-50 DE 10 MM - MONTAGEM</t>
  </si>
  <si>
    <t>ARMAÇÃO DE PILAR OU VIGA DE UMA ESTRUTURA CONVENCIONAL DE CONCRETO ARMADO EM UMA EDIFICAÇÃO TÉRREA OU SOBRADO UTILIZANDO AÇO CA-50 DE 12,5 MM - MONTAGEM</t>
  </si>
  <si>
    <t>ARMAÇÃO DE PILAR OU VIGA DE UMA ESTRUTURA CONVENCIONAL DE CONCRETO ARMADO EM UMA EDIFICAÇÃO TÉRREA OU SOBRADO UTILIZANDO AÇO CA-50 DE 6,3 MM - MONTAGEM</t>
  </si>
  <si>
    <t>CONCRETAGEM DE SAPATAS, FCK 30 MPA, COM USO DE BOMBA  LANÇAMENTO, ADENSAMENTO E ACABAMENTO</t>
  </si>
  <si>
    <t>REATERRO MECANIZADO COM ESCAVADEIRA HIDRÁULICA COM SOLO DE 1ª CATEGORIA EM LOCAIS COM BAIXO NÍVEL DE INTERFERÊNCIA</t>
  </si>
  <si>
    <t>LIMPEZA DE REVESTIMENTO CERÂMICO EM PAREDE COM PANO ÚMIDO</t>
  </si>
  <si>
    <t>LIMPEZA DE PISO CERÂMICO OU PORCELANATO COM PANO ÚMIDO</t>
  </si>
  <si>
    <t>DEMOLIÇÃO DE ARGAMASSAS - PAREDES E TETO - DE FORMA MANUAL, SEM REAPROVEITAMENTO.</t>
  </si>
  <si>
    <t>96622</t>
  </si>
  <si>
    <t>43127</t>
  </si>
  <si>
    <t>3777</t>
  </si>
  <si>
    <t>LONA PLASTICA PRETA, E= 150 MICRA</t>
  </si>
  <si>
    <t>LASTRO DE BRITA, APLICAÇÃO EM PISOS, ESPESSURA DE 5 CM</t>
  </si>
  <si>
    <t>TELA DE ACO SOLDADA NERVURADA, CA-60, Q-283 (4,48 KG/M2), DIAMETRO DO FIO = 6,0 MM, ESPACAMENTO DA MALHA = 10 X 10 CM</t>
  </si>
  <si>
    <t>98459</t>
  </si>
  <si>
    <t>PRÓPRIA</t>
  </si>
  <si>
    <t>0001</t>
  </si>
  <si>
    <t>87908</t>
  </si>
  <si>
    <t>88489</t>
  </si>
  <si>
    <t>88471</t>
  </si>
  <si>
    <t>87535</t>
  </si>
  <si>
    <t>MERCADO</t>
  </si>
  <si>
    <t>PORTA EM ALUMÍNIO DE ABRIR COM GUARNIÇÃO, FIXAÇÃO COM PARAFUSOS - FORNECIMENTO E INSTALAÇÃO. - P1</t>
  </si>
  <si>
    <t>0002</t>
  </si>
  <si>
    <t>100865</t>
  </si>
  <si>
    <t>100868</t>
  </si>
  <si>
    <t>100866</t>
  </si>
  <si>
    <t>98055</t>
  </si>
  <si>
    <t>98092</t>
  </si>
  <si>
    <t>0003</t>
  </si>
  <si>
    <t>91786</t>
  </si>
  <si>
    <t>91785</t>
  </si>
  <si>
    <t>89972</t>
  </si>
  <si>
    <t>91795</t>
  </si>
  <si>
    <t>91794</t>
  </si>
  <si>
    <t>97901</t>
  </si>
  <si>
    <t>0004</t>
  </si>
  <si>
    <t>83650</t>
  </si>
  <si>
    <t>TAPUME COM TELHA METÁLICA. AF_05/2018</t>
  </si>
  <si>
    <t>DEMOLIÇÃO DE REVESTIMENTO CERÂMICO - PISOS E PAREDES - DE FORMA MANUAL, SEM REAPROVEITAMENTO.</t>
  </si>
  <si>
    <t>CHAPISCO APLICADO EM ALVENARIA (COM PRESENÇA DE VÃOS) E ESTRUTURAS DE CONCRETO DE FACHADA, COM EQUIPAMENTO DE PROJEÇÃO.  ARGAMASSA TRAÇO 1:3 COM PREPARO EM BETONEIRA 400 L. AF_06/2014</t>
  </si>
  <si>
    <t>APLICAÇÃO MANUAL DE PINTURA COM TINTA LÁTEX ACRÍLICA EM PAREDES, DUAS DEMÃOS. AF_06/2014</t>
  </si>
  <si>
    <t>CONTRAPISO AUTONIVELANTE, APLICADO SOBRE LAJE, NÃO ADERIDO, ESPESSURA 4CM. AF_06/2014</t>
  </si>
  <si>
    <t>EXECUÇÃO DE RAMPA EM CONCRETO ARMADO, MOLDADA IN LOCO, FCK = 25 MPA</t>
  </si>
  <si>
    <t>BARRA DE APOIO LATERAL ARTICULADA, COM TRAVA, EM ACO INOX POLIDO, FIXADA NA PAREDE - FORNECIMENTO E INSTALAÇÃO. AF_01/2020</t>
  </si>
  <si>
    <t>BARRA DE APOIO RETA, EM ACO INOX POLIDO, COMPRIMENTO 80 CM,  FIXADA NA PAREDE - FORNECIMENTO E INSTALAÇÃO. AF_01/2020</t>
  </si>
  <si>
    <t>BARRA DE APOIO RETA, EM ACO INOX POLIDO, COMPRIMENTO 60CM, FIXADA NA PAREDE - FORNECIMENTO E INSTALAÇÃO. AF_01/2020</t>
  </si>
  <si>
    <t>INSTALAÇÃO DE CAIXA D'AGUA</t>
  </si>
  <si>
    <t>BOMBA RECALQUE D'AGUA PREDIO 3 A 5 PAVTOS - 2UD</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</si>
  <si>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</si>
  <si>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</si>
  <si>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KIT DE REGISTRO DE GAVETA BRUTO DE LATÃO ¾", INCLUSIVE CONEXÕES, ROSCÁVEL, INSTALADO EM RAMAL DE ÁGUA FRIA - FORNECIMENTO E INSTALAÇÃO. AF_12/2014</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</si>
  <si>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</si>
  <si>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 TUBO PVC, SÉRIE N, ESGOTO PREDIAL, DN 75 MM, (INST. EM RAMAL DE DESCARGA, RAMAL DE ESG. SANITÁRIO, PRUMADA DE ESG. SANITÁRIO OU VENTILAÇÃO), INCL. CONEXÕES, CORTES E FIXAÇÕES, P/ PRÉDIOS. AF_10/2015</t>
  </si>
  <si>
    <t>CAIXA ENTERRADA HIDRÁULICA RETANGULAR EM ALVENARIA COM TIJOLOS CERÂMICOS MACIÇOS, DIMENSÕES INTERNAS: 0,4X0,4X0,4 M PARA REDE DE ESGOTO. AF_05/2018</t>
  </si>
  <si>
    <t>TANQUE SÉPTICO CIRCULAR, EM CONCRETO PRÉ-MOLDADO, DIÂMETRO INTERNO = 2,38 M, ALTURA INTERNA = 2,50 M, VOLUME ÚTIL: 10009,8 L (PARA 69 CONTRIBUINTES). AF_05/2018</t>
  </si>
  <si>
    <t>FILTRO ANAERÓBIO RETANGULAR, EM ALVENARIA COM BLOCOS DE CONCRETO, DIMENSÕES INTERNAS: 1,6 X 4,6 X 1,67 M, VOLUME ÚTIL: 8832 L (PARA 84 CONTRIBUINTES). AF_05/2018</t>
  </si>
  <si>
    <t>97645</t>
  </si>
  <si>
    <t>97644</t>
  </si>
  <si>
    <t>377</t>
  </si>
  <si>
    <t>91788</t>
  </si>
  <si>
    <t>94492</t>
  </si>
  <si>
    <t>JANELA DE AÇO TIPO BASCULANTE COM BATENTE, FERRAGENS E PINTURA ANTICORROSIVA. INCLUSIVE VIDROS, REQUADRO E PINTURA ESMALTE - FORNECIMENTO E INSTALAÇÃO</t>
  </si>
  <si>
    <t>MICTORIO SIFONADO LOUCA BRANCA - FORNECIMENTO E INSTALAÇÃO - INCLUSIVE ACESSÓRIOS</t>
  </si>
  <si>
    <t>0005</t>
  </si>
  <si>
    <t>100858</t>
  </si>
  <si>
    <t>PORTA DE AÇO CONFORME PADRÃO EXISTENTE INCLUSO FERRAGENS, PINTURA ANTICORROSIVA, REQUADRO E PINTURA ESMALTE - FORNECIMENTO E INSTALAÇÃO</t>
  </si>
  <si>
    <t>ASSENTO SANITARIO DE PLASTICO, TIPO CONVENCIONAL</t>
  </si>
  <si>
    <t>(COMPOSIÇÃO REPRESENTATIVA) DO SERVIÇO DE INSTALAÇÃO DE TUBOS DE PVC, SOLDÁVEL, ÁGUA FRIA, DN 50 MM (INSTALADO EM PRUMADA), INCLUSIVE CONEXÕES, CORTES E FIXAÇÕES, PARA PRÉDIOS. AF_10/2015</t>
  </si>
  <si>
    <t>REGISTRO DE ESFERA, PVC, SOLDÁVEL, DN  50 MM, INSTALADO EM RESERVAÇÃO DE ÁGUA DE EDIFICAÇÃO QUE POSSUA RESERVATÓRIO DE FIBRA/FIBROCIMENTO   FORNECIMENTO E INSTALAÇÃO. AF_06/2016</t>
  </si>
  <si>
    <t>REMOÇÃO DE JANELAS, DE FORMA MANUAL</t>
  </si>
  <si>
    <t>REMOÇÃO DE PORTAS, DE FORMA MANUAL</t>
  </si>
  <si>
    <t>EMBOÇO, EM ARGAMASSA TRAÇO 1:2:8, PREPARO MECÂNICO COM BETONEIRA 400L, APLICADO MANUALMENTE EM FACES INTERNAS DE PAREDES, PARA AMBIENTE COM ÁREA  MAIOR QUE 10M2, ESPESSURA DE 20MM, COM EXECUÇÃO DE TALISCAS. AF_06/2014</t>
  </si>
  <si>
    <t>CAIXA D'AGUA FIBRA DE VIDRO PARA 7500 LITROS, COM TAMPA</t>
  </si>
  <si>
    <t>93184</t>
  </si>
  <si>
    <t>95547</t>
  </si>
  <si>
    <t>95545</t>
  </si>
  <si>
    <t>95543</t>
  </si>
  <si>
    <t>37401</t>
  </si>
  <si>
    <t>73816/1</t>
  </si>
  <si>
    <t>SABONETEIRA PLASTICA TIPO DISPENSER PARA SABONETE LIQUIDO COM RESERVATORIO 800 A 1500 ML, INCLUSO FIXAÇÃO. AF_01/2020</t>
  </si>
  <si>
    <t>TOALHEIRO PLASTICO TIPO DISPENSER PARA PAPEL TOALHA INTERFOLHADO</t>
  </si>
  <si>
    <t>SABONETEIRA DE PAREDE EM METAL CROMADO, INCLUSO FIXAÇÃO. AF_01/2020</t>
  </si>
  <si>
    <t>PORTA TOALHA BANHO EM METAL CROMADO, TIPO BARRA, INCLUSO FIXAÇÃO. AF_01/2020</t>
  </si>
  <si>
    <t>VERGA PRÉ-MOLDADA PARA PORTAS COM ATÉ 1,5 M DE VÃO. AF_03/2016</t>
  </si>
  <si>
    <t>EXECUCAO DE DRENO COM TUBOS DE PVC CORRUGADO FLEXIVEL PERFURADO - DN 100</t>
  </si>
  <si>
    <t>CONCRETAGEM DE CORTINA DE CONTENÇÃO, INCLUSIVE CONTRA-FORTES, FCK 30 MPA, ATRAVÉS DE BOMBA   LANÇAMENTO, ADENSAMENTO E ACABAMENTO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</si>
</sst>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4" x14ac:knownFonts="1">
    <font>
      <sz val="10"/>
      <name val="Arial"/>
    </font>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sz val="8"/>
      <name val="Arial"/>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sz val="15"/>
      <name val="Arial"/>
      <family val="2"/>
    </font>
    <font>
      <b/>
      <sz val="11"/>
      <color indexed="12"/>
      <name val="Arial"/>
      <family val="2"/>
    </font>
    <font>
      <u/>
      <sz val="10"/>
      <name val="Arial"/>
      <family val="2"/>
    </font>
    <font>
      <sz val="12"/>
      <name val="Arial"/>
      <family val="2"/>
    </font>
    <font>
      <sz val="14"/>
      <color indexed="9"/>
      <name val="Arial"/>
      <family val="2"/>
    </font>
    <font>
      <sz val="10"/>
      <name val="Arial"/>
      <family val="2"/>
    </font>
    <font>
      <b/>
      <sz val="9"/>
      <name val="Arial"/>
      <family val="2"/>
    </font>
    <font>
      <sz val="11"/>
      <color indexed="9"/>
      <name val="Arial"/>
      <family val="2"/>
    </font>
    <font>
      <b/>
      <sz val="10"/>
      <color indexed="23"/>
      <name val="Arial"/>
      <family val="2"/>
    </font>
    <font>
      <i/>
      <sz val="12"/>
      <name val="Calibri"/>
      <family val="2"/>
    </font>
    <font>
      <i/>
      <u/>
      <sz val="12"/>
      <name val="Calibri"/>
      <family val="2"/>
    </font>
    <font>
      <sz val="8"/>
      <name val="Arial"/>
      <family val="2"/>
    </font>
    <font>
      <b/>
      <sz val="18"/>
      <name val="Arial"/>
      <family val="2"/>
    </font>
    <font>
      <sz val="10.5"/>
      <name val="Arial"/>
      <family val="2"/>
    </font>
    <font>
      <b/>
      <sz val="12"/>
      <color indexed="10"/>
      <name val="Arial"/>
      <family val="2"/>
    </font>
    <font>
      <b/>
      <sz val="20"/>
      <color indexed="10"/>
      <name val="Arial"/>
      <family val="2"/>
    </font>
    <font>
      <sz val="8"/>
      <name val="Arial"/>
      <family val="2"/>
    </font>
    <font>
      <sz val="11"/>
      <name val="Arial"/>
      <family val="2"/>
    </font>
    <font>
      <sz val="10"/>
      <color indexed="13"/>
      <name val="Arial"/>
      <family val="2"/>
    </font>
    <font>
      <b/>
      <sz val="10"/>
      <color indexed="13"/>
      <name val="Arial"/>
      <family val="2"/>
    </font>
    <font>
      <b/>
      <sz val="10"/>
      <color indexed="13"/>
      <name val="Arial"/>
      <family val="2"/>
    </font>
    <font>
      <sz val="8"/>
      <color rgb="FF000000"/>
      <name val="Segoe U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s>
  <cellStyleXfs count="8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9" fillId="7" borderId="1" applyNumberFormat="0" applyAlignment="0" applyProtection="0"/>
    <xf numFmtId="0" fontId="8" fillId="0" borderId="3" applyNumberFormat="0" applyFill="0" applyAlignment="0" applyProtection="0"/>
    <xf numFmtId="165" fontId="1" fillId="0" borderId="0" applyFont="0" applyFill="0" applyBorder="0" applyAlignment="0" applyProtection="0"/>
    <xf numFmtId="169" fontId="1" fillId="0" borderId="0" applyFont="0" applyFill="0" applyBorder="0" applyAlignment="0" applyProtection="0"/>
    <xf numFmtId="0" fontId="11" fillId="22" borderId="0" applyNumberFormat="0" applyBorder="0" applyAlignment="0" applyProtection="0"/>
    <xf numFmtId="0" fontId="1" fillId="0" borderId="0"/>
    <xf numFmtId="0" fontId="2" fillId="0" borderId="0"/>
    <xf numFmtId="0" fontId="1" fillId="23" borderId="7" applyNumberFormat="0" applyFont="0" applyAlignment="0" applyProtection="0"/>
    <xf numFmtId="0" fontId="1"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1" fillId="0" borderId="0" applyFont="0" applyFill="0" applyBorder="0" applyAlignment="0" applyProtection="0"/>
    <xf numFmtId="0" fontId="13" fillId="0" borderId="0" applyNumberFormat="0" applyFill="0" applyBorder="0" applyAlignment="0" applyProtection="0"/>
  </cellStyleXfs>
  <cellXfs count="392">
    <xf numFmtId="0" fontId="0" fillId="0" borderId="0" xfId="0"/>
    <xf numFmtId="0" fontId="0" fillId="0" borderId="0" xfId="0" applyProtection="1"/>
    <xf numFmtId="0" fontId="0" fillId="0" borderId="0" xfId="0" applyFill="1" applyBorder="1" applyProtection="1"/>
    <xf numFmtId="0" fontId="0" fillId="0" borderId="0" xfId="0" applyBorder="1" applyProtection="1"/>
    <xf numFmtId="0" fontId="1" fillId="0" borderId="0" xfId="0" applyFont="1"/>
    <xf numFmtId="0" fontId="20" fillId="0" borderId="0" xfId="0" applyFont="1"/>
    <xf numFmtId="0" fontId="22" fillId="0" borderId="0" xfId="0" applyFont="1" applyAlignment="1">
      <alignment horizontal="center"/>
    </xf>
    <xf numFmtId="0" fontId="1" fillId="0" borderId="0" xfId="0" applyFont="1" applyAlignment="1" applyProtection="1">
      <alignment horizontal="center"/>
    </xf>
    <xf numFmtId="0" fontId="0" fillId="0" borderId="0" xfId="0" applyAlignment="1" applyProtection="1">
      <alignment horizontal="left"/>
    </xf>
    <xf numFmtId="0" fontId="1" fillId="0" borderId="0" xfId="0" applyFont="1" applyAlignment="1">
      <alignment horizontal="center"/>
    </xf>
    <xf numFmtId="49" fontId="22" fillId="24" borderId="10" xfId="0" applyNumberFormat="1" applyFont="1" applyFill="1" applyBorder="1" applyAlignment="1" applyProtection="1">
      <alignment horizontal="center" vertical="center"/>
    </xf>
    <xf numFmtId="164" fontId="22" fillId="24" borderId="10" xfId="85" applyNumberFormat="1" applyFont="1" applyFill="1" applyBorder="1" applyAlignment="1" applyProtection="1">
      <alignment horizontal="center" vertical="center"/>
    </xf>
    <xf numFmtId="10" fontId="22" fillId="24" borderId="10" xfId="74" applyNumberFormat="1" applyFont="1" applyFill="1" applyBorder="1" applyAlignment="1" applyProtection="1">
      <alignment horizontal="center" vertical="center"/>
    </xf>
    <xf numFmtId="0" fontId="23" fillId="0" borderId="0" xfId="0" applyFont="1"/>
    <xf numFmtId="0" fontId="1" fillId="0" borderId="0" xfId="0" applyFont="1" applyAlignment="1">
      <alignment horizontal="left"/>
    </xf>
    <xf numFmtId="0" fontId="1" fillId="0" borderId="0" xfId="0" applyFont="1" applyAlignment="1">
      <alignment horizontal="center" vertical="center"/>
    </xf>
    <xf numFmtId="164" fontId="1" fillId="0" borderId="0" xfId="85" applyFont="1"/>
    <xf numFmtId="0" fontId="27" fillId="0" borderId="0" xfId="0" applyFont="1" applyAlignment="1">
      <alignment vertical="center"/>
    </xf>
    <xf numFmtId="0" fontId="1" fillId="0" borderId="0" xfId="0" applyFont="1" applyBorder="1" applyAlignment="1" applyProtection="1">
      <alignment horizontal="right"/>
    </xf>
    <xf numFmtId="0" fontId="22" fillId="0" borderId="0" xfId="0" applyFont="1" applyBorder="1" applyAlignment="1" applyProtection="1">
      <alignment horizontal="right"/>
    </xf>
    <xf numFmtId="0" fontId="1" fillId="0" borderId="0" xfId="0" applyFont="1" applyBorder="1"/>
    <xf numFmtId="0" fontId="0" fillId="0" borderId="0" xfId="0" applyFill="1" applyProtection="1"/>
    <xf numFmtId="0" fontId="0" fillId="0" borderId="0" xfId="0" applyFill="1" applyAlignment="1" applyProtection="1">
      <alignment horizontal="left"/>
    </xf>
    <xf numFmtId="0" fontId="1" fillId="0" borderId="0" xfId="0" applyFont="1" applyFill="1" applyAlignment="1" applyProtection="1">
      <alignment horizontal="center"/>
    </xf>
    <xf numFmtId="0" fontId="1" fillId="0" borderId="0" xfId="0" applyFont="1" applyFill="1" applyBorder="1" applyAlignment="1" applyProtection="1">
      <alignment wrapText="1"/>
    </xf>
    <xf numFmtId="0" fontId="0" fillId="0" borderId="0" xfId="0" applyFill="1" applyAlignment="1" applyProtection="1">
      <alignment horizontal="left" wrapText="1"/>
    </xf>
    <xf numFmtId="0" fontId="1" fillId="0" borderId="0" xfId="0" applyFont="1" applyFill="1" applyBorder="1" applyAlignment="1" applyProtection="1">
      <alignment horizontal="left" wrapText="1" indent="2"/>
    </xf>
    <xf numFmtId="0" fontId="0" fillId="0" borderId="0" xfId="0" applyFill="1" applyAlignment="1" applyProtection="1">
      <alignment horizontal="center"/>
    </xf>
    <xf numFmtId="0" fontId="22" fillId="0" borderId="11" xfId="70" applyFont="1" applyBorder="1" applyAlignment="1" applyProtection="1">
      <alignment horizontal="left" vertical="top"/>
    </xf>
    <xf numFmtId="0" fontId="22" fillId="0" borderId="0" xfId="70" applyFont="1" applyBorder="1" applyAlignment="1" applyProtection="1">
      <alignment horizontal="left" vertical="top"/>
    </xf>
    <xf numFmtId="0" fontId="22" fillId="0" borderId="12" xfId="70" applyFont="1" applyBorder="1" applyAlignment="1" applyProtection="1">
      <alignment horizontal="left" vertical="top"/>
    </xf>
    <xf numFmtId="10" fontId="1" fillId="0" borderId="0" xfId="74" applyNumberFormat="1" applyFont="1" applyBorder="1" applyAlignment="1" applyProtection="1">
      <alignment horizontal="left"/>
    </xf>
    <xf numFmtId="0" fontId="0" fillId="0" borderId="0" xfId="0" applyAlignment="1" applyProtection="1">
      <alignment horizontal="left" indent="2"/>
    </xf>
    <xf numFmtId="14" fontId="28" fillId="0" borderId="0" xfId="0" applyNumberFormat="1" applyFont="1" applyFill="1" applyBorder="1" applyAlignment="1" applyProtection="1">
      <alignment vertical="top" wrapText="1"/>
    </xf>
    <xf numFmtId="0" fontId="29" fillId="0" borderId="0" xfId="0" applyFont="1" applyFill="1" applyAlignment="1" applyProtection="1">
      <alignment horizontal="center"/>
    </xf>
    <xf numFmtId="0" fontId="29" fillId="0" borderId="0" xfId="0" applyFont="1" applyFill="1" applyProtection="1"/>
    <xf numFmtId="0" fontId="21" fillId="0" borderId="0" xfId="0" applyFont="1" applyAlignment="1">
      <alignment horizontal="left"/>
    </xf>
    <xf numFmtId="166" fontId="0" fillId="0" borderId="0" xfId="85" applyNumberFormat="1" applyFont="1" applyFill="1" applyBorder="1" applyProtection="1"/>
    <xf numFmtId="0" fontId="1" fillId="0" borderId="0" xfId="0" applyFont="1" applyAlignment="1" applyProtection="1">
      <alignment horizontal="left"/>
    </xf>
    <xf numFmtId="0" fontId="0" fillId="0" borderId="13" xfId="0" applyFill="1" applyBorder="1" applyAlignment="1" applyProtection="1">
      <alignment horizontal="left"/>
    </xf>
    <xf numFmtId="0" fontId="0" fillId="0" borderId="13" xfId="0" applyFill="1" applyBorder="1" applyProtection="1"/>
    <xf numFmtId="0" fontId="0" fillId="0" borderId="0" xfId="0" applyProtection="1">
      <protection hidden="1"/>
    </xf>
    <xf numFmtId="0" fontId="1" fillId="0" borderId="0" xfId="0" applyFont="1" applyProtection="1">
      <protection hidden="1"/>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1" fillId="0" borderId="0" xfId="69" applyFont="1" applyProtection="1"/>
    <xf numFmtId="0" fontId="22" fillId="0" borderId="0" xfId="69" applyFont="1" applyAlignment="1" applyProtection="1">
      <alignment horizontal="center"/>
    </xf>
    <xf numFmtId="0" fontId="22" fillId="0" borderId="14" xfId="69" applyFont="1" applyBorder="1" applyAlignment="1" applyProtection="1">
      <alignment horizontal="center"/>
    </xf>
    <xf numFmtId="10" fontId="31" fillId="0" borderId="14" xfId="69" applyNumberFormat="1" applyFont="1" applyFill="1" applyBorder="1" applyAlignment="1" applyProtection="1">
      <alignment horizontal="center"/>
    </xf>
    <xf numFmtId="0" fontId="21" fillId="0" borderId="0" xfId="69" applyFont="1" applyAlignment="1" applyProtection="1">
      <alignment horizontal="center"/>
    </xf>
    <xf numFmtId="0" fontId="32" fillId="0" borderId="0" xfId="69" applyFont="1" applyAlignment="1" applyProtection="1"/>
    <xf numFmtId="0" fontId="22" fillId="0" borderId="0" xfId="69" applyFont="1" applyProtection="1"/>
    <xf numFmtId="0" fontId="22" fillId="0" borderId="14" xfId="69" applyFont="1" applyFill="1" applyBorder="1" applyAlignment="1" applyProtection="1">
      <alignment horizontal="center" vertical="center" wrapText="1"/>
    </xf>
    <xf numFmtId="0" fontId="30" fillId="0" borderId="14" xfId="69" applyFont="1" applyBorder="1" applyAlignment="1" applyProtection="1">
      <alignment horizontal="center" vertical="center"/>
    </xf>
    <xf numFmtId="10" fontId="30" fillId="25" borderId="14" xfId="69" applyNumberFormat="1" applyFont="1" applyFill="1" applyBorder="1" applyAlignment="1" applyProtection="1">
      <alignment horizontal="center" vertical="center"/>
      <protection locked="0"/>
    </xf>
    <xf numFmtId="4" fontId="26" fillId="0" borderId="14" xfId="69" applyNumberFormat="1" applyFont="1" applyFill="1" applyBorder="1" applyAlignment="1" applyProtection="1">
      <alignment horizontal="center" vertical="center"/>
    </xf>
    <xf numFmtId="10" fontId="30" fillId="0" borderId="14" xfId="69" applyNumberFormat="1" applyFont="1" applyFill="1" applyBorder="1" applyAlignment="1" applyProtection="1">
      <alignment horizontal="center" vertical="center"/>
    </xf>
    <xf numFmtId="10" fontId="30" fillId="0" borderId="14" xfId="69" applyNumberFormat="1" applyFont="1" applyFill="1" applyBorder="1" applyAlignment="1" applyProtection="1">
      <alignment horizontal="center" vertical="center" wrapText="1"/>
    </xf>
    <xf numFmtId="0" fontId="30" fillId="0" borderId="14" xfId="69" applyFont="1" applyFill="1" applyBorder="1" applyAlignment="1" applyProtection="1">
      <alignment horizontal="center" vertical="center" wrapText="1"/>
    </xf>
    <xf numFmtId="0" fontId="39" fillId="0" borderId="0" xfId="69" applyFont="1" applyFill="1" applyBorder="1" applyAlignment="1" applyProtection="1">
      <alignment horizontal="center" vertical="center" wrapText="1"/>
    </xf>
    <xf numFmtId="10" fontId="39" fillId="0" borderId="0" xfId="69" applyNumberFormat="1" applyFont="1" applyFill="1" applyBorder="1" applyAlignment="1" applyProtection="1">
      <alignment horizontal="center" vertical="center"/>
    </xf>
    <xf numFmtId="170" fontId="1" fillId="0" borderId="0" xfId="69" applyNumberFormat="1" applyFont="1" applyAlignment="1" applyProtection="1"/>
    <xf numFmtId="0" fontId="30" fillId="0" borderId="0" xfId="69" applyFont="1" applyBorder="1" applyProtection="1"/>
    <xf numFmtId="0" fontId="1" fillId="0" borderId="0" xfId="69" applyFont="1" applyBorder="1" applyProtection="1"/>
    <xf numFmtId="0" fontId="30" fillId="0" borderId="0" xfId="69" applyFont="1" applyProtection="1"/>
    <xf numFmtId="0" fontId="30" fillId="0" borderId="0" xfId="69" applyFont="1" applyAlignment="1" applyProtection="1">
      <alignment vertical="top"/>
    </xf>
    <xf numFmtId="0" fontId="34" fillId="0" borderId="0" xfId="69" applyFont="1" applyBorder="1" applyAlignment="1" applyProtection="1">
      <alignment horizontal="center" vertical="top"/>
    </xf>
    <xf numFmtId="0" fontId="22" fillId="0" borderId="14"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22" fillId="24" borderId="14" xfId="0" applyNumberFormat="1" applyFont="1" applyFill="1" applyBorder="1" applyAlignment="1" applyProtection="1">
      <alignment horizontal="center" vertical="center"/>
    </xf>
    <xf numFmtId="0" fontId="1" fillId="0" borderId="15" xfId="0" applyFont="1" applyBorder="1" applyAlignment="1" applyProtection="1">
      <alignment horizontal="center"/>
    </xf>
    <xf numFmtId="0" fontId="22" fillId="0" borderId="16" xfId="0" applyFont="1" applyBorder="1" applyAlignment="1" applyProtection="1">
      <alignment horizontal="center"/>
    </xf>
    <xf numFmtId="0" fontId="1" fillId="0" borderId="0" xfId="0" applyFont="1" applyFill="1"/>
    <xf numFmtId="0" fontId="36" fillId="0" borderId="0" xfId="0" applyFont="1" applyFill="1" applyAlignment="1">
      <alignment vertical="center"/>
    </xf>
    <xf numFmtId="0" fontId="1" fillId="0" borderId="0" xfId="0" applyFont="1" applyFill="1" applyAlignment="1">
      <alignment horizontal="center" vertical="top"/>
    </xf>
    <xf numFmtId="0" fontId="1" fillId="0" borderId="0" xfId="0" applyFont="1" applyProtection="1"/>
    <xf numFmtId="0" fontId="1" fillId="0" borderId="17" xfId="0" applyFont="1" applyBorder="1"/>
    <xf numFmtId="0" fontId="30" fillId="0" borderId="0" xfId="0" applyFont="1"/>
    <xf numFmtId="0" fontId="21" fillId="0" borderId="0" xfId="0" applyFont="1" applyAlignment="1">
      <alignment horizontal="right"/>
    </xf>
    <xf numFmtId="0" fontId="22" fillId="25" borderId="0" xfId="0" applyFont="1" applyFill="1" applyAlignment="1" applyProtection="1">
      <protection locked="0"/>
    </xf>
    <xf numFmtId="0" fontId="22" fillId="24" borderId="10" xfId="0" applyNumberFormat="1" applyFont="1" applyFill="1" applyBorder="1" applyAlignment="1" applyProtection="1">
      <alignment horizontal="center" vertical="center" wrapText="1"/>
    </xf>
    <xf numFmtId="0" fontId="1" fillId="25" borderId="18" xfId="0" applyFont="1" applyFill="1" applyBorder="1" applyAlignment="1" applyProtection="1">
      <alignment horizontal="left" vertical="top" wrapText="1"/>
      <protection locked="0"/>
    </xf>
    <xf numFmtId="0" fontId="1" fillId="0" borderId="12" xfId="0" applyFont="1" applyBorder="1"/>
    <xf numFmtId="0" fontId="30" fillId="0" borderId="11" xfId="0" applyFont="1" applyBorder="1" applyAlignment="1" applyProtection="1">
      <alignment horizontal="left" vertical="center"/>
    </xf>
    <xf numFmtId="0" fontId="1" fillId="25" borderId="18" xfId="0" applyFont="1" applyFill="1" applyBorder="1" applyAlignment="1" applyProtection="1">
      <alignment vertical="top" wrapText="1"/>
      <protection locked="0"/>
    </xf>
    <xf numFmtId="0" fontId="22" fillId="0" borderId="11" xfId="70" applyFont="1" applyBorder="1" applyAlignment="1" applyProtection="1">
      <alignment vertical="top"/>
    </xf>
    <xf numFmtId="0" fontId="22" fillId="0" borderId="15" xfId="70" applyFont="1" applyBorder="1" applyAlignment="1" applyProtection="1">
      <alignment horizontal="center" vertical="top"/>
    </xf>
    <xf numFmtId="0" fontId="0" fillId="0" borderId="0" xfId="0" applyFont="1" applyProtection="1"/>
    <xf numFmtId="10" fontId="37" fillId="25" borderId="16" xfId="74" applyNumberFormat="1" applyFont="1" applyFill="1" applyBorder="1" applyAlignment="1" applyProtection="1">
      <alignment horizontal="center" vertical="top" wrapText="1"/>
    </xf>
    <xf numFmtId="10" fontId="0" fillId="0" borderId="16" xfId="74" applyNumberFormat="1" applyFont="1" applyFill="1" applyBorder="1" applyAlignment="1" applyProtection="1">
      <alignment horizontal="center" vertical="top" wrapText="1"/>
    </xf>
    <xf numFmtId="164" fontId="22" fillId="24" borderId="19" xfId="85" applyNumberFormat="1" applyFont="1" applyFill="1" applyBorder="1" applyAlignment="1" applyProtection="1">
      <alignment horizontal="center" vertical="center" shrinkToFit="1"/>
    </xf>
    <xf numFmtId="164" fontId="1" fillId="0" borderId="20" xfId="85" applyNumberFormat="1" applyFont="1" applyFill="1" applyBorder="1" applyAlignment="1">
      <alignment horizontal="center" vertical="center" shrinkToFit="1"/>
    </xf>
    <xf numFmtId="0" fontId="21" fillId="0" borderId="0" xfId="0" applyFont="1" applyAlignment="1">
      <alignment horizontal="left" vertical="center"/>
    </xf>
    <xf numFmtId="0" fontId="1" fillId="0" borderId="0" xfId="69" applyFont="1" applyBorder="1" applyAlignment="1" applyProtection="1">
      <alignment horizontal="center" vertical="top"/>
    </xf>
    <xf numFmtId="0" fontId="38" fillId="0" borderId="0" xfId="70" applyFont="1" applyBorder="1" applyAlignment="1" applyProtection="1">
      <alignment horizontal="left" vertical="top"/>
    </xf>
    <xf numFmtId="0" fontId="35" fillId="0" borderId="0" xfId="0" applyFont="1" applyAlignment="1">
      <alignment horizontal="left" vertical="center"/>
    </xf>
    <xf numFmtId="3" fontId="0" fillId="26" borderId="21" xfId="0" applyNumberFormat="1" applyFill="1" applyBorder="1" applyAlignment="1" applyProtection="1">
      <alignment horizontal="left"/>
    </xf>
    <xf numFmtId="10" fontId="37" fillId="25" borderId="18" xfId="74" applyNumberFormat="1" applyFont="1" applyFill="1" applyBorder="1" applyAlignment="1" applyProtection="1">
      <alignment horizontal="left" vertical="top" wrapText="1"/>
      <protection locked="0"/>
    </xf>
    <xf numFmtId="0" fontId="1" fillId="26" borderId="18" xfId="0" applyFont="1" applyFill="1" applyBorder="1" applyAlignment="1" applyProtection="1">
      <alignment horizontal="left"/>
    </xf>
    <xf numFmtId="4" fontId="26" fillId="0" borderId="14" xfId="69" applyNumberFormat="1" applyFont="1" applyFill="1" applyBorder="1" applyAlignment="1" applyProtection="1">
      <alignment horizontal="center" vertical="center" wrapText="1"/>
    </xf>
    <xf numFmtId="0" fontId="46" fillId="0" borderId="0" xfId="69" applyFont="1" applyAlignment="1" applyProtection="1">
      <alignment wrapText="1"/>
    </xf>
    <xf numFmtId="0" fontId="47" fillId="0" borderId="0" xfId="69" applyFont="1" applyAlignment="1" applyProtection="1">
      <alignment vertical="top" wrapText="1"/>
    </xf>
    <xf numFmtId="0" fontId="44" fillId="0" borderId="14" xfId="69" applyFont="1" applyBorder="1" applyAlignment="1" applyProtection="1">
      <alignment horizontal="center" vertical="center"/>
    </xf>
    <xf numFmtId="4" fontId="26" fillId="0" borderId="0" xfId="69" applyNumberFormat="1" applyFont="1" applyFill="1" applyBorder="1" applyAlignment="1" applyProtection="1">
      <alignment horizontal="center" vertical="center" wrapText="1"/>
    </xf>
    <xf numFmtId="0" fontId="1" fillId="0" borderId="0" xfId="69" applyFont="1" applyProtection="1">
      <protection locked="0"/>
    </xf>
    <xf numFmtId="0" fontId="22" fillId="0" borderId="0" xfId="0" applyFont="1"/>
    <xf numFmtId="0" fontId="22" fillId="0" borderId="0" xfId="0" applyFont="1" applyAlignment="1">
      <alignment horizontal="left"/>
    </xf>
    <xf numFmtId="0" fontId="0" fillId="0" borderId="0" xfId="0" applyAlignment="1" applyProtection="1">
      <alignment horizontal="center"/>
    </xf>
    <xf numFmtId="0" fontId="22" fillId="0" borderId="22" xfId="0" applyFont="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Border="1"/>
    <xf numFmtId="0" fontId="1" fillId="0" borderId="0" xfId="0" applyFont="1" applyFill="1" applyBorder="1"/>
    <xf numFmtId="0" fontId="23" fillId="0" borderId="16" xfId="0" applyFont="1" applyBorder="1" applyAlignment="1">
      <alignment horizontal="center"/>
    </xf>
    <xf numFmtId="0" fontId="2" fillId="25" borderId="23" xfId="0" applyNumberFormat="1" applyFont="1" applyFill="1" applyBorder="1" applyAlignment="1" applyProtection="1">
      <alignment vertical="center" wrapText="1"/>
      <protection locked="0"/>
    </xf>
    <xf numFmtId="164" fontId="1" fillId="0" borderId="24" xfId="85" applyNumberFormat="1" applyFont="1" applyFill="1" applyBorder="1" applyAlignment="1">
      <alignment vertical="center" shrinkToFit="1"/>
    </xf>
    <xf numFmtId="0" fontId="1" fillId="25" borderId="25" xfId="0" applyFont="1" applyFill="1" applyBorder="1" applyAlignment="1" applyProtection="1">
      <alignment horizontal="center" textRotation="90" wrapText="1"/>
      <protection locked="0"/>
    </xf>
    <xf numFmtId="0" fontId="22" fillId="0" borderId="15" xfId="0" applyFont="1" applyBorder="1" applyAlignment="1" applyProtection="1">
      <alignment horizontal="center" vertical="center" wrapText="1"/>
    </xf>
    <xf numFmtId="0" fontId="22" fillId="0" borderId="15" xfId="0" applyFont="1" applyBorder="1" applyAlignment="1" applyProtection="1">
      <alignment horizontal="center" vertical="center"/>
    </xf>
    <xf numFmtId="0" fontId="27" fillId="0" borderId="26" xfId="0" applyFont="1" applyBorder="1" applyAlignment="1">
      <alignment horizontal="center" vertical="center"/>
    </xf>
    <xf numFmtId="0" fontId="2" fillId="0" borderId="27" xfId="0" applyNumberFormat="1" applyFont="1" applyFill="1" applyBorder="1" applyAlignment="1" applyProtection="1">
      <alignment vertical="center"/>
    </xf>
    <xf numFmtId="0" fontId="1" fillId="0" borderId="28" xfId="0" applyNumberFormat="1" applyFont="1" applyFill="1" applyBorder="1" applyAlignment="1" applyProtection="1">
      <alignment vertical="center" wrapText="1"/>
    </xf>
    <xf numFmtId="0" fontId="2" fillId="0" borderId="28" xfId="0" applyNumberFormat="1" applyFont="1" applyFill="1" applyBorder="1" applyAlignment="1" applyProtection="1">
      <alignment vertical="center"/>
    </xf>
    <xf numFmtId="0" fontId="1" fillId="0" borderId="28" xfId="0" applyNumberFormat="1" applyFont="1" applyFill="1" applyBorder="1" applyAlignment="1" applyProtection="1">
      <alignment horizontal="center" vertical="center" wrapText="1"/>
    </xf>
    <xf numFmtId="0" fontId="1" fillId="0" borderId="28" xfId="0" applyNumberFormat="1" applyFont="1" applyFill="1" applyBorder="1" applyAlignment="1" applyProtection="1">
      <alignment vertical="center" shrinkToFit="1"/>
    </xf>
    <xf numFmtId="0" fontId="1" fillId="0" borderId="0" xfId="0" applyFont="1" applyAlignment="1">
      <alignment wrapText="1"/>
    </xf>
    <xf numFmtId="10" fontId="1" fillId="0" borderId="24" xfId="85" applyNumberFormat="1" applyFont="1" applyFill="1" applyBorder="1" applyAlignment="1">
      <alignment vertical="center" shrinkToFit="1"/>
    </xf>
    <xf numFmtId="10" fontId="22" fillId="24" borderId="10" xfId="85" applyNumberFormat="1" applyFont="1" applyFill="1" applyBorder="1" applyAlignment="1" applyProtection="1">
      <alignment horizontal="center" vertical="center"/>
    </xf>
    <xf numFmtId="0" fontId="22" fillId="0" borderId="11" xfId="70" applyFont="1" applyFill="1" applyBorder="1" applyAlignment="1" applyProtection="1">
      <alignment horizontal="left" vertical="top"/>
    </xf>
    <xf numFmtId="0" fontId="22" fillId="0" borderId="11" xfId="70" applyFont="1" applyFill="1" applyBorder="1" applyAlignment="1" applyProtection="1">
      <alignment vertical="top"/>
    </xf>
    <xf numFmtId="0" fontId="22" fillId="0" borderId="15" xfId="70" applyFont="1" applyFill="1" applyBorder="1" applyAlignment="1" applyProtection="1">
      <alignment horizontal="center" vertical="top"/>
    </xf>
    <xf numFmtId="0" fontId="1" fillId="0" borderId="18" xfId="0" applyFont="1" applyFill="1" applyBorder="1" applyAlignment="1" applyProtection="1">
      <alignment vertical="top" wrapText="1"/>
    </xf>
    <xf numFmtId="0" fontId="1" fillId="0" borderId="18" xfId="0" applyFont="1" applyFill="1" applyBorder="1" applyAlignment="1" applyProtection="1">
      <alignment horizontal="left" vertical="top" wrapText="1"/>
    </xf>
    <xf numFmtId="10" fontId="37" fillId="0" borderId="16" xfId="74" applyNumberFormat="1" applyFont="1" applyFill="1" applyBorder="1" applyAlignment="1" applyProtection="1">
      <alignment horizontal="center" vertical="top" wrapText="1"/>
    </xf>
    <xf numFmtId="10" fontId="37" fillId="0" borderId="18" xfId="74" applyNumberFormat="1" applyFont="1" applyFill="1" applyBorder="1" applyAlignment="1" applyProtection="1">
      <alignment horizontal="left" vertical="top" wrapText="1"/>
    </xf>
    <xf numFmtId="0" fontId="22" fillId="0" borderId="17" xfId="0" applyFont="1" applyBorder="1"/>
    <xf numFmtId="0" fontId="22" fillId="0" borderId="17" xfId="0" applyFont="1" applyBorder="1" applyAlignment="1">
      <alignment horizontal="left"/>
    </xf>
    <xf numFmtId="0" fontId="1" fillId="0" borderId="17" xfId="0" applyFont="1" applyBorder="1" applyAlignment="1">
      <alignment horizontal="left"/>
    </xf>
    <xf numFmtId="0" fontId="22" fillId="0" borderId="17" xfId="69" applyFont="1" applyBorder="1" applyAlignment="1" applyProtection="1">
      <alignment horizontal="left"/>
    </xf>
    <xf numFmtId="0" fontId="1" fillId="0" borderId="17" xfId="69" applyFont="1" applyBorder="1" applyProtection="1"/>
    <xf numFmtId="0" fontId="27" fillId="0" borderId="0" xfId="0" applyFont="1" applyAlignment="1">
      <alignment horizontal="center" vertical="center"/>
    </xf>
    <xf numFmtId="0" fontId="38" fillId="0" borderId="29"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0" xfId="0" applyFont="1" applyAlignment="1" applyProtection="1">
      <alignment horizontal="center"/>
    </xf>
    <xf numFmtId="4" fontId="26" fillId="27" borderId="13" xfId="85" applyNumberFormat="1" applyFont="1" applyFill="1" applyBorder="1" applyAlignment="1" applyProtection="1">
      <alignment horizontal="center" vertical="center" shrinkToFit="1"/>
    </xf>
    <xf numFmtId="10" fontId="26" fillId="28" borderId="0" xfId="74" applyNumberFormat="1" applyFont="1" applyFill="1" applyBorder="1" applyAlignment="1" applyProtection="1">
      <alignment horizontal="center" vertical="center" shrinkToFit="1"/>
    </xf>
    <xf numFmtId="4" fontId="26" fillId="28" borderId="13" xfId="85" applyNumberFormat="1" applyFont="1" applyFill="1" applyBorder="1" applyAlignment="1" applyProtection="1">
      <alignment horizontal="center" vertical="center" shrinkToFit="1"/>
    </xf>
    <xf numFmtId="0" fontId="38" fillId="0" borderId="30" xfId="0" applyFont="1" applyBorder="1" applyAlignment="1" applyProtection="1">
      <alignment horizontal="center" vertical="center" wrapText="1"/>
    </xf>
    <xf numFmtId="0" fontId="1" fillId="0" borderId="17" xfId="0" applyFont="1" applyFill="1" applyBorder="1" applyProtection="1"/>
    <xf numFmtId="0" fontId="1" fillId="0" borderId="17" xfId="0" applyFont="1" applyFill="1" applyBorder="1" applyAlignment="1" applyProtection="1">
      <alignment horizontal="center"/>
    </xf>
    <xf numFmtId="0" fontId="22" fillId="27" borderId="18" xfId="0" applyFont="1" applyFill="1" applyBorder="1" applyAlignment="1" applyProtection="1">
      <alignment horizontal="center" vertical="center"/>
    </xf>
    <xf numFmtId="0" fontId="22" fillId="28" borderId="11" xfId="0" applyFont="1" applyFill="1" applyBorder="1" applyAlignment="1" applyProtection="1">
      <alignment horizontal="center" vertical="center"/>
    </xf>
    <xf numFmtId="0" fontId="22" fillId="28" borderId="18" xfId="0" applyFont="1" applyFill="1" applyBorder="1" applyAlignment="1" applyProtection="1">
      <alignment horizontal="center" vertical="center"/>
    </xf>
    <xf numFmtId="0" fontId="0" fillId="25" borderId="14"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50" fillId="0" borderId="0" xfId="0" applyFont="1" applyFill="1" applyProtection="1"/>
    <xf numFmtId="0" fontId="1" fillId="0" borderId="31" xfId="0" applyNumberFormat="1" applyFont="1" applyFill="1" applyBorder="1" applyAlignment="1">
      <alignment vertical="center" wrapText="1" shrinkToFit="1"/>
    </xf>
    <xf numFmtId="0" fontId="40" fillId="24" borderId="32" xfId="0" applyNumberFormat="1" applyFont="1" applyFill="1" applyBorder="1" applyAlignment="1" applyProtection="1">
      <alignment horizontal="center" vertical="center" wrapText="1"/>
    </xf>
    <xf numFmtId="0" fontId="2" fillId="28" borderId="23" xfId="0" applyNumberFormat="1" applyFont="1" applyFill="1" applyBorder="1" applyAlignment="1" applyProtection="1">
      <alignment vertical="center" wrapText="1"/>
    </xf>
    <xf numFmtId="164" fontId="1" fillId="0" borderId="28" xfId="85" applyFont="1" applyFill="1" applyBorder="1" applyAlignment="1" applyProtection="1">
      <alignment vertical="center" shrinkToFit="1"/>
    </xf>
    <xf numFmtId="0" fontId="1" fillId="0" borderId="0" xfId="0" applyFont="1" applyAlignment="1" applyProtection="1">
      <alignment horizontal="center"/>
      <protection locked="0"/>
    </xf>
    <xf numFmtId="0" fontId="22" fillId="27" borderId="11" xfId="0" applyFont="1" applyFill="1" applyBorder="1" applyAlignment="1" applyProtection="1">
      <alignment horizontal="center" vertical="center"/>
    </xf>
    <xf numFmtId="10" fontId="30" fillId="0" borderId="0" xfId="74" applyNumberFormat="1" applyFont="1" applyFill="1" applyBorder="1" applyAlignment="1" applyProtection="1">
      <alignment horizontal="center" vertical="center"/>
    </xf>
    <xf numFmtId="4" fontId="30" fillId="0" borderId="0" xfId="74"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4" fillId="0" borderId="0" xfId="0" applyFont="1" applyFill="1" applyAlignment="1" applyProtection="1">
      <alignment vertical="center"/>
    </xf>
    <xf numFmtId="0" fontId="21" fillId="0" borderId="0" xfId="0" applyFont="1" applyAlignment="1" applyProtection="1">
      <alignment horizontal="right" vertical="center"/>
    </xf>
    <xf numFmtId="0" fontId="21" fillId="0" borderId="0" xfId="0" applyFont="1" applyAlignment="1" applyProtection="1">
      <alignment horizontal="left" vertical="center"/>
    </xf>
    <xf numFmtId="0" fontId="0" fillId="0" borderId="0" xfId="0" applyFill="1" applyAlignment="1" applyProtection="1">
      <alignment horizontal="center" vertical="top"/>
    </xf>
    <xf numFmtId="0" fontId="35" fillId="0" borderId="0" xfId="0" applyFont="1" applyAlignment="1" applyProtection="1">
      <alignment horizontal="left" vertical="center"/>
    </xf>
    <xf numFmtId="0" fontId="1" fillId="0" borderId="0" xfId="0" applyFont="1" applyAlignment="1" applyProtection="1">
      <alignment horizontal="center" wrapText="1"/>
    </xf>
    <xf numFmtId="0" fontId="48" fillId="0" borderId="0" xfId="0" applyFont="1" applyAlignment="1" applyProtection="1">
      <alignment wrapText="1"/>
    </xf>
    <xf numFmtId="0" fontId="0" fillId="0" borderId="0" xfId="0" applyNumberFormat="1" applyProtection="1"/>
    <xf numFmtId="0" fontId="22" fillId="0" borderId="0" xfId="0" applyFont="1" applyFill="1" applyBorder="1" applyAlignment="1" applyProtection="1">
      <alignment horizontal="center" wrapText="1"/>
    </xf>
    <xf numFmtId="0" fontId="26" fillId="0" borderId="15" xfId="0" applyFont="1" applyFill="1" applyBorder="1" applyAlignment="1" applyProtection="1">
      <alignment horizontal="center" vertical="center"/>
    </xf>
    <xf numFmtId="0" fontId="26" fillId="0" borderId="15"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center" vertical="center"/>
    </xf>
    <xf numFmtId="0" fontId="2" fillId="0" borderId="0" xfId="0" applyFont="1" applyFill="1" applyBorder="1" applyProtection="1"/>
    <xf numFmtId="0" fontId="1" fillId="0" borderId="0" xfId="0" applyFont="1" applyBorder="1" applyProtection="1"/>
    <xf numFmtId="0" fontId="2" fillId="0" borderId="0" xfId="0" applyFont="1" applyProtection="1"/>
    <xf numFmtId="0" fontId="1" fillId="0" borderId="0" xfId="0" applyFont="1" applyBorder="1" applyAlignment="1" applyProtection="1">
      <alignment vertical="top"/>
    </xf>
    <xf numFmtId="0" fontId="22" fillId="0" borderId="0" xfId="0" applyFont="1" applyBorder="1" applyAlignment="1" applyProtection="1">
      <alignment vertical="center"/>
    </xf>
    <xf numFmtId="4" fontId="2" fillId="0" borderId="0" xfId="0" applyNumberFormat="1" applyFont="1" applyProtection="1"/>
    <xf numFmtId="0" fontId="22" fillId="0" borderId="17" xfId="0" applyFont="1" applyFill="1" applyBorder="1" applyAlignment="1" applyProtection="1">
      <alignment horizontal="left" vertical="center"/>
    </xf>
    <xf numFmtId="0" fontId="1" fillId="0" borderId="17" xfId="0" applyFont="1" applyBorder="1" applyProtection="1"/>
    <xf numFmtId="0" fontId="1" fillId="0" borderId="0" xfId="0" applyFont="1" applyBorder="1" applyAlignment="1" applyProtection="1">
      <alignment horizontal="center"/>
    </xf>
    <xf numFmtId="0" fontId="22" fillId="0" borderId="11" xfId="0" applyFont="1" applyFill="1" applyBorder="1" applyAlignment="1" applyProtection="1">
      <alignment wrapText="1"/>
    </xf>
    <xf numFmtId="0" fontId="0" fillId="0" borderId="11" xfId="0" applyBorder="1" applyProtection="1"/>
    <xf numFmtId="0" fontId="0" fillId="0" borderId="11" xfId="0" quotePrefix="1" applyBorder="1" applyProtection="1"/>
    <xf numFmtId="10" fontId="30" fillId="0" borderId="11" xfId="74" applyNumberFormat="1" applyFont="1" applyFill="1" applyBorder="1" applyAlignment="1" applyProtection="1">
      <alignment horizontal="center" vertical="center"/>
    </xf>
    <xf numFmtId="4" fontId="30" fillId="0" borderId="11" xfId="74" applyNumberFormat="1" applyFont="1" applyFill="1" applyBorder="1" applyAlignment="1" applyProtection="1">
      <alignment horizontal="center" vertical="center"/>
    </xf>
    <xf numFmtId="4" fontId="26" fillId="27" borderId="18" xfId="85" applyNumberFormat="1" applyFont="1" applyFill="1" applyBorder="1" applyAlignment="1" applyProtection="1">
      <alignment horizontal="center" vertical="center" shrinkToFit="1"/>
    </xf>
    <xf numFmtId="10" fontId="26" fillId="28" borderId="11" xfId="74" applyNumberFormat="1" applyFont="1" applyFill="1" applyBorder="1" applyAlignment="1" applyProtection="1">
      <alignment horizontal="center" vertical="center" shrinkToFit="1"/>
    </xf>
    <xf numFmtId="4" fontId="26" fillId="28" borderId="18" xfId="85" applyNumberFormat="1"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0" fontId="26" fillId="27" borderId="11" xfId="74" applyNumberFormat="1" applyFont="1" applyFill="1" applyBorder="1" applyAlignment="1" applyProtection="1">
      <alignment horizontal="center" vertical="center" shrinkToFit="1"/>
    </xf>
    <xf numFmtId="10" fontId="26" fillId="27" borderId="0" xfId="74" applyNumberFormat="1" applyFont="1" applyFill="1" applyBorder="1" applyAlignment="1" applyProtection="1">
      <alignment horizontal="center" vertical="center" shrinkToFit="1"/>
    </xf>
    <xf numFmtId="4" fontId="30" fillId="0" borderId="12" xfId="74" applyNumberFormat="1" applyFont="1" applyFill="1" applyBorder="1" applyAlignment="1" applyProtection="1">
      <alignment horizontal="center" vertical="center"/>
    </xf>
    <xf numFmtId="10" fontId="0" fillId="0" borderId="14" xfId="0" applyNumberFormat="1" applyBorder="1" applyProtection="1"/>
    <xf numFmtId="49" fontId="1" fillId="25" borderId="2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1" fillId="0" borderId="14" xfId="0" applyFont="1" applyBorder="1"/>
    <xf numFmtId="0" fontId="0" fillId="0" borderId="0" xfId="0" quotePrefix="1"/>
    <xf numFmtId="0" fontId="30" fillId="0" borderId="0" xfId="0" applyFont="1" applyFill="1" applyBorder="1" applyAlignment="1" applyProtection="1">
      <alignment horizontal="left" wrapText="1"/>
      <protection locked="0"/>
    </xf>
    <xf numFmtId="0" fontId="1" fillId="0" borderId="14" xfId="0" applyFont="1" applyBorder="1" applyProtection="1">
      <protection locked="0"/>
    </xf>
    <xf numFmtId="164" fontId="1" fillId="25" borderId="34" xfId="85" applyFont="1" applyFill="1" applyBorder="1" applyAlignment="1" applyProtection="1">
      <alignment vertical="center" shrinkToFit="1"/>
      <protection locked="0"/>
    </xf>
    <xf numFmtId="0" fontId="22" fillId="24" borderId="32" xfId="0" applyNumberFormat="1" applyFont="1" applyFill="1" applyBorder="1" applyAlignment="1" applyProtection="1">
      <alignment horizontal="center" vertical="center" shrinkToFit="1"/>
    </xf>
    <xf numFmtId="0" fontId="22" fillId="24" borderId="25" xfId="0" applyNumberFormat="1"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wrapText="1" shrinkToFit="1"/>
    </xf>
    <xf numFmtId="14" fontId="26" fillId="0" borderId="11" xfId="0" applyNumberFormat="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10" fontId="30" fillId="25" borderId="35" xfId="74" applyNumberFormat="1" applyFont="1" applyFill="1" applyBorder="1" applyAlignment="1" applyProtection="1">
      <alignment horizontal="center" vertical="center"/>
      <protection locked="0" hidden="1"/>
    </xf>
    <xf numFmtId="0" fontId="26" fillId="0" borderId="12" xfId="0" applyFont="1" applyFill="1" applyBorder="1" applyAlignment="1" applyProtection="1">
      <alignment horizontal="center" vertical="center" wrapText="1"/>
    </xf>
    <xf numFmtId="0" fontId="22" fillId="0" borderId="0" xfId="0" applyFont="1" applyFill="1" applyBorder="1" applyAlignment="1" applyProtection="1">
      <alignment wrapText="1"/>
    </xf>
    <xf numFmtId="0" fontId="1" fillId="26" borderId="0" xfId="0" applyFont="1" applyFill="1"/>
    <xf numFmtId="10" fontId="30" fillId="25" borderId="36" xfId="74" applyNumberFormat="1" applyFont="1" applyFill="1" applyBorder="1" applyAlignment="1" applyProtection="1">
      <alignment horizontal="center" vertical="center"/>
      <protection locked="0"/>
    </xf>
    <xf numFmtId="10" fontId="30" fillId="25" borderId="35" xfId="74" applyNumberFormat="1" applyFont="1" applyFill="1" applyBorder="1" applyAlignment="1" applyProtection="1">
      <alignment horizontal="center" vertical="center"/>
      <protection locked="0"/>
    </xf>
    <xf numFmtId="10" fontId="30" fillId="25" borderId="37" xfId="74" applyNumberFormat="1" applyFont="1" applyFill="1" applyBorder="1" applyAlignment="1" applyProtection="1">
      <alignment horizontal="center" vertical="center"/>
      <protection locked="0"/>
    </xf>
    <xf numFmtId="164" fontId="1" fillId="31" borderId="24" xfId="85" applyFont="1" applyFill="1" applyBorder="1" applyAlignment="1" applyProtection="1">
      <alignment vertical="center" wrapText="1"/>
      <protection locked="0"/>
    </xf>
    <xf numFmtId="0" fontId="1" fillId="31" borderId="24" xfId="0" applyNumberFormat="1" applyFont="1" applyFill="1" applyBorder="1" applyAlignment="1" applyProtection="1">
      <alignment horizontal="center" vertical="center" wrapText="1"/>
      <protection locked="0"/>
    </xf>
    <xf numFmtId="0" fontId="1" fillId="31" borderId="24" xfId="0" applyNumberFormat="1" applyFont="1" applyFill="1" applyBorder="1" applyAlignment="1" applyProtection="1">
      <alignment vertical="center" wrapText="1"/>
      <protection locked="0"/>
    </xf>
    <xf numFmtId="10" fontId="1" fillId="31" borderId="24" xfId="74" applyNumberFormat="1" applyFont="1" applyFill="1" applyBorder="1" applyAlignment="1" applyProtection="1">
      <alignment horizontal="center" vertical="center" wrapText="1"/>
      <protection locked="0"/>
    </xf>
    <xf numFmtId="164" fontId="1" fillId="25" borderId="24" xfId="85" applyNumberFormat="1" applyFont="1" applyFill="1" applyBorder="1" applyAlignment="1" applyProtection="1">
      <alignment vertical="center" shrinkToFit="1"/>
      <protection locked="0"/>
    </xf>
    <xf numFmtId="0" fontId="1" fillId="25" borderId="18" xfId="0" applyFont="1" applyFill="1" applyBorder="1" applyAlignment="1" applyProtection="1">
      <alignment horizontal="left" vertical="top" wrapText="1"/>
      <protection locked="0"/>
    </xf>
    <xf numFmtId="0" fontId="1" fillId="25" borderId="13"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wrapText="1" indent="3"/>
    </xf>
    <xf numFmtId="0" fontId="0" fillId="0" borderId="0" xfId="0" applyAlignment="1" applyProtection="1">
      <alignment horizontal="left" indent="3"/>
    </xf>
    <xf numFmtId="0" fontId="22" fillId="0" borderId="11" xfId="70" applyFont="1" applyBorder="1" applyAlignment="1" applyProtection="1">
      <alignment horizontal="left" vertical="top"/>
    </xf>
    <xf numFmtId="0" fontId="22" fillId="0" borderId="0" xfId="70" applyFont="1" applyBorder="1" applyAlignment="1" applyProtection="1">
      <alignment horizontal="left" vertical="top"/>
    </xf>
    <xf numFmtId="0" fontId="1" fillId="0" borderId="0" xfId="0" applyFont="1" applyFill="1" applyBorder="1" applyAlignment="1" applyProtection="1">
      <alignment horizontal="left" wrapText="1" indent="2"/>
    </xf>
    <xf numFmtId="0" fontId="0" fillId="0" borderId="0" xfId="0" applyAlignment="1" applyProtection="1">
      <alignment horizontal="left" indent="2"/>
    </xf>
    <xf numFmtId="0" fontId="22" fillId="0" borderId="40" xfId="0" applyFont="1" applyFill="1" applyBorder="1" applyAlignment="1" applyProtection="1">
      <alignment horizontal="left" wrapText="1"/>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22" fillId="0" borderId="11" xfId="70" applyFont="1" applyFill="1" applyBorder="1" applyAlignment="1" applyProtection="1">
      <alignment horizontal="left" vertical="top"/>
    </xf>
    <xf numFmtId="0" fontId="22" fillId="0" borderId="0" xfId="70" applyFont="1" applyFill="1" applyBorder="1" applyAlignment="1" applyProtection="1">
      <alignment horizontal="left" vertical="top"/>
    </xf>
    <xf numFmtId="0" fontId="22" fillId="0" borderId="12" xfId="70" applyFont="1" applyFill="1" applyBorder="1" applyAlignment="1" applyProtection="1">
      <alignment horizontal="left" vertical="top"/>
    </xf>
    <xf numFmtId="0" fontId="22" fillId="0" borderId="12" xfId="70" applyFont="1" applyBorder="1" applyAlignment="1" applyProtection="1">
      <alignment horizontal="left" vertical="top"/>
    </xf>
    <xf numFmtId="0" fontId="0" fillId="25" borderId="38" xfId="0" applyFill="1" applyBorder="1" applyAlignment="1" applyProtection="1">
      <alignment horizontal="left" vertical="top" wrapText="1"/>
      <protection locked="0"/>
    </xf>
    <xf numFmtId="0" fontId="51" fillId="29" borderId="0" xfId="0" applyFont="1" applyFill="1" applyBorder="1" applyAlignment="1" applyProtection="1">
      <alignment horizontal="left" vertical="top" wrapText="1" indent="2"/>
    </xf>
    <xf numFmtId="0" fontId="52" fillId="29" borderId="0" xfId="0" applyFont="1" applyFill="1" applyBorder="1" applyAlignment="1" applyProtection="1">
      <alignment horizontal="left" vertical="top" wrapText="1" indent="2"/>
    </xf>
    <xf numFmtId="0" fontId="52" fillId="29" borderId="0" xfId="0" applyFont="1" applyFill="1" applyAlignment="1" applyProtection="1">
      <alignment horizontal="left" vertical="top" indent="2"/>
    </xf>
    <xf numFmtId="167" fontId="0" fillId="25" borderId="18" xfId="0" applyNumberFormat="1" applyFill="1" applyBorder="1" applyAlignment="1" applyProtection="1">
      <alignment horizontal="center" vertical="top" wrapText="1"/>
      <protection locked="0"/>
    </xf>
    <xf numFmtId="167" fontId="0" fillId="25" borderId="38" xfId="0" applyNumberFormat="1" applyFill="1" applyBorder="1" applyAlignment="1" applyProtection="1">
      <alignment horizontal="center" vertical="top" wrapText="1"/>
      <protection locked="0"/>
    </xf>
    <xf numFmtId="0" fontId="38" fillId="0" borderId="11" xfId="70" applyFont="1" applyBorder="1" applyAlignment="1" applyProtection="1">
      <alignment horizontal="left" vertical="top"/>
    </xf>
    <xf numFmtId="0" fontId="38" fillId="0" borderId="12" xfId="70" applyFont="1" applyBorder="1" applyAlignment="1" applyProtection="1">
      <alignment horizontal="left" vertical="top"/>
    </xf>
    <xf numFmtId="0" fontId="21" fillId="26" borderId="17" xfId="0" applyFont="1" applyFill="1" applyBorder="1" applyAlignment="1" applyProtection="1">
      <alignment horizontal="center" vertical="center" wrapText="1"/>
    </xf>
    <xf numFmtId="0" fontId="21" fillId="26" borderId="39" xfId="0" applyFont="1" applyFill="1" applyBorder="1" applyAlignment="1" applyProtection="1">
      <alignment horizontal="center" vertical="center" wrapText="1"/>
    </xf>
    <xf numFmtId="0" fontId="21" fillId="26" borderId="13" xfId="0" applyFont="1" applyFill="1" applyBorder="1" applyAlignment="1" applyProtection="1">
      <alignment horizontal="center" vertical="center" wrapText="1"/>
    </xf>
    <xf numFmtId="0" fontId="21" fillId="26" borderId="38" xfId="0" applyFont="1" applyFill="1" applyBorder="1" applyAlignment="1" applyProtection="1">
      <alignment horizontal="center" vertical="center" wrapText="1"/>
    </xf>
    <xf numFmtId="49" fontId="0" fillId="25" borderId="0" xfId="0" applyNumberFormat="1" applyFill="1" applyBorder="1" applyAlignment="1" applyProtection="1">
      <alignment horizontal="left"/>
      <protection locked="0"/>
    </xf>
    <xf numFmtId="14" fontId="1" fillId="25" borderId="18" xfId="74" applyNumberFormat="1" applyFont="1" applyFill="1" applyBorder="1" applyAlignment="1" applyProtection="1">
      <alignment horizontal="center" vertical="top" wrapText="1"/>
      <protection locked="0"/>
    </xf>
    <xf numFmtId="14" fontId="37" fillId="25" borderId="38" xfId="74" applyNumberFormat="1" applyFont="1" applyFill="1" applyBorder="1" applyAlignment="1" applyProtection="1">
      <alignment horizontal="center" vertical="top" wrapText="1"/>
      <protection locked="0"/>
    </xf>
    <xf numFmtId="49" fontId="1" fillId="25" borderId="18" xfId="74" applyNumberFormat="1" applyFont="1" applyFill="1" applyBorder="1" applyAlignment="1" applyProtection="1">
      <alignment horizontal="left" vertical="top" wrapText="1"/>
      <protection locked="0"/>
    </xf>
    <xf numFmtId="49" fontId="1" fillId="25" borderId="13" xfId="74" applyNumberFormat="1" applyFont="1" applyFill="1" applyBorder="1" applyAlignment="1" applyProtection="1">
      <alignment horizontal="left" vertical="top" wrapText="1"/>
      <protection locked="0"/>
    </xf>
    <xf numFmtId="49" fontId="37" fillId="25" borderId="13" xfId="74" applyNumberFormat="1" applyFont="1" applyFill="1" applyBorder="1" applyAlignment="1" applyProtection="1">
      <alignment horizontal="left" vertical="top" wrapText="1"/>
      <protection locked="0"/>
    </xf>
    <xf numFmtId="49" fontId="37" fillId="25" borderId="38" xfId="74" applyNumberFormat="1" applyFont="1" applyFill="1" applyBorder="1" applyAlignment="1" applyProtection="1">
      <alignment horizontal="left" vertical="top" wrapText="1"/>
      <protection locked="0"/>
    </xf>
    <xf numFmtId="14" fontId="1" fillId="25" borderId="38" xfId="74"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xf>
    <xf numFmtId="0" fontId="1" fillId="0" borderId="4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1" fillId="0" borderId="4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49" fontId="1" fillId="25" borderId="0" xfId="0" applyNumberFormat="1" applyFont="1" applyFill="1" applyBorder="1" applyAlignment="1" applyProtection="1">
      <alignment horizontal="left"/>
      <protection locked="0"/>
    </xf>
    <xf numFmtId="49" fontId="1" fillId="25" borderId="18" xfId="0" applyNumberFormat="1" applyFont="1" applyFill="1" applyBorder="1" applyAlignment="1" applyProtection="1">
      <alignment horizontal="left" vertical="top" wrapText="1"/>
      <protection locked="0"/>
    </xf>
    <xf numFmtId="49" fontId="1" fillId="25"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xf>
    <xf numFmtId="49" fontId="0" fillId="0" borderId="13" xfId="0" applyNumberFormat="1"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38" xfId="0" applyFill="1" applyBorder="1" applyAlignment="1" applyProtection="1">
      <alignment horizontal="left" vertical="top" wrapText="1"/>
    </xf>
    <xf numFmtId="0" fontId="38" fillId="0" borderId="11" xfId="70" applyFont="1" applyFill="1" applyBorder="1" applyAlignment="1" applyProtection="1">
      <alignment horizontal="left" vertical="top"/>
    </xf>
    <xf numFmtId="0" fontId="38" fillId="0" borderId="12" xfId="70" applyFont="1" applyFill="1" applyBorder="1" applyAlignment="1" applyProtection="1">
      <alignment horizontal="left" vertical="top"/>
    </xf>
    <xf numFmtId="167" fontId="0" fillId="0" borderId="18" xfId="0" applyNumberFormat="1" applyFill="1" applyBorder="1" applyAlignment="1" applyProtection="1">
      <alignment horizontal="center" vertical="top" wrapText="1"/>
    </xf>
    <xf numFmtId="167" fontId="0" fillId="0" borderId="38" xfId="0" applyNumberFormat="1" applyFill="1" applyBorder="1" applyAlignment="1" applyProtection="1">
      <alignment horizontal="center" vertical="top" wrapText="1"/>
    </xf>
    <xf numFmtId="0" fontId="1" fillId="0" borderId="18"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14" fontId="0" fillId="25" borderId="18" xfId="0" applyNumberFormat="1" applyFill="1" applyBorder="1" applyAlignment="1" applyProtection="1">
      <alignment horizontal="left" vertical="top" wrapText="1"/>
      <protection locked="0"/>
    </xf>
    <xf numFmtId="14" fontId="0" fillId="25" borderId="13" xfId="0" applyNumberFormat="1" applyFill="1" applyBorder="1" applyAlignment="1" applyProtection="1">
      <alignment horizontal="left" vertical="top" wrapText="1"/>
      <protection locked="0"/>
    </xf>
    <xf numFmtId="14" fontId="0" fillId="25" borderId="38" xfId="0" applyNumberFormat="1" applyFill="1" applyBorder="1" applyAlignment="1" applyProtection="1">
      <alignment horizontal="left" vertical="top" wrapText="1"/>
      <protection locked="0"/>
    </xf>
    <xf numFmtId="0" fontId="0" fillId="25" borderId="0" xfId="0" applyFill="1" applyBorder="1" applyAlignment="1" applyProtection="1">
      <alignment horizontal="left"/>
      <protection locked="0"/>
    </xf>
    <xf numFmtId="0" fontId="51" fillId="29" borderId="0" xfId="0" applyFont="1" applyFill="1" applyAlignment="1" applyProtection="1">
      <alignment horizontal="left" vertical="top" indent="2"/>
    </xf>
    <xf numFmtId="10" fontId="1" fillId="0" borderId="18" xfId="74" applyNumberFormat="1" applyFont="1" applyFill="1" applyBorder="1" applyAlignment="1" applyProtection="1">
      <alignment horizontal="left" vertical="top" wrapText="1"/>
    </xf>
    <xf numFmtId="10" fontId="1" fillId="0" borderId="13" xfId="74" applyNumberFormat="1" applyFont="1" applyFill="1" applyBorder="1" applyAlignment="1" applyProtection="1">
      <alignment horizontal="left" vertical="top" wrapText="1"/>
    </xf>
    <xf numFmtId="10" fontId="37" fillId="0" borderId="13" xfId="74" applyNumberFormat="1" applyFont="1" applyFill="1" applyBorder="1" applyAlignment="1" applyProtection="1">
      <alignment horizontal="left" vertical="top" wrapText="1"/>
    </xf>
    <xf numFmtId="10" fontId="37" fillId="0" borderId="38" xfId="74" applyNumberFormat="1" applyFont="1" applyFill="1" applyBorder="1" applyAlignment="1" applyProtection="1">
      <alignment horizontal="left" vertical="top" wrapText="1"/>
    </xf>
    <xf numFmtId="14" fontId="37" fillId="0" borderId="18" xfId="74" applyNumberFormat="1" applyFont="1" applyFill="1" applyBorder="1" applyAlignment="1" applyProtection="1">
      <alignment horizontal="center" vertical="top" wrapText="1"/>
    </xf>
    <xf numFmtId="14" fontId="37" fillId="0" borderId="38" xfId="74" applyNumberFormat="1" applyFont="1" applyFill="1" applyBorder="1" applyAlignment="1" applyProtection="1">
      <alignment horizontal="center" vertical="top" wrapText="1"/>
    </xf>
    <xf numFmtId="14" fontId="1" fillId="0" borderId="18" xfId="74" applyNumberFormat="1" applyFont="1" applyFill="1" applyBorder="1" applyAlignment="1" applyProtection="1">
      <alignment horizontal="center" vertical="top" wrapText="1"/>
    </xf>
    <xf numFmtId="14" fontId="1" fillId="0" borderId="38" xfId="74" applyNumberFormat="1" applyFont="1" applyFill="1" applyBorder="1" applyAlignment="1" applyProtection="1">
      <alignment horizontal="center" vertical="top" wrapText="1"/>
    </xf>
    <xf numFmtId="167" fontId="1" fillId="0" borderId="18" xfId="74" applyNumberFormat="1" applyFont="1" applyFill="1" applyBorder="1" applyAlignment="1" applyProtection="1">
      <alignment horizontal="left" vertical="top" wrapText="1"/>
    </xf>
    <xf numFmtId="167" fontId="1" fillId="0" borderId="13" xfId="74" applyNumberFormat="1" applyFont="1" applyFill="1" applyBorder="1" applyAlignment="1" applyProtection="1">
      <alignment horizontal="left" vertical="top" wrapText="1"/>
    </xf>
    <xf numFmtId="0" fontId="0" fillId="25" borderId="13" xfId="0" applyFill="1" applyBorder="1" applyAlignment="1" applyProtection="1">
      <alignment horizontal="left" vertical="top" wrapText="1"/>
      <protection locked="0"/>
    </xf>
    <xf numFmtId="49" fontId="0" fillId="25" borderId="18" xfId="0" applyNumberFormat="1" applyFill="1" applyBorder="1" applyAlignment="1" applyProtection="1">
      <alignment horizontal="left" vertical="top" wrapText="1"/>
      <protection locked="0"/>
    </xf>
    <xf numFmtId="49" fontId="0" fillId="25" borderId="13" xfId="0" applyNumberFormat="1" applyFill="1" applyBorder="1" applyAlignment="1" applyProtection="1">
      <alignment horizontal="left" vertical="top" wrapText="1"/>
      <protection locked="0"/>
    </xf>
    <xf numFmtId="49" fontId="0" fillId="25" borderId="38" xfId="0" applyNumberFormat="1" applyFill="1" applyBorder="1" applyAlignment="1" applyProtection="1">
      <alignment horizontal="left" vertical="top" wrapText="1"/>
      <protection locked="0"/>
    </xf>
    <xf numFmtId="10" fontId="1" fillId="25" borderId="18" xfId="74" applyNumberFormat="1" applyFont="1" applyFill="1" applyBorder="1" applyAlignment="1" applyProtection="1">
      <alignment horizontal="left" vertical="top" wrapText="1"/>
      <protection locked="0"/>
    </xf>
    <xf numFmtId="10" fontId="37" fillId="25" borderId="13" xfId="74" applyNumberFormat="1" applyFont="1" applyFill="1" applyBorder="1" applyAlignment="1" applyProtection="1">
      <alignment horizontal="left" vertical="top" wrapText="1"/>
      <protection locked="0"/>
    </xf>
    <xf numFmtId="10" fontId="37" fillId="25" borderId="38" xfId="74" applyNumberFormat="1" applyFont="1" applyFill="1" applyBorder="1" applyAlignment="1" applyProtection="1">
      <alignment horizontal="left" vertical="top" wrapText="1"/>
      <protection locked="0"/>
    </xf>
    <xf numFmtId="171" fontId="1" fillId="0" borderId="0" xfId="69" applyNumberFormat="1" applyFont="1" applyFill="1" applyBorder="1" applyAlignment="1" applyProtection="1">
      <alignment horizontal="left"/>
    </xf>
    <xf numFmtId="0" fontId="45" fillId="0" borderId="0" xfId="69" applyFont="1" applyAlignment="1" applyProtection="1">
      <alignment horizontal="left" vertical="center" indent="1"/>
    </xf>
    <xf numFmtId="0" fontId="1" fillId="0" borderId="14" xfId="69" applyFont="1" applyBorder="1" applyAlignment="1" applyProtection="1">
      <alignment horizontal="left" vertical="center" wrapText="1"/>
    </xf>
    <xf numFmtId="0" fontId="39" fillId="0" borderId="0" xfId="69" applyFont="1" applyBorder="1" applyAlignment="1" applyProtection="1">
      <alignment horizontal="left" vertical="center" wrapText="1"/>
    </xf>
    <xf numFmtId="2" fontId="33" fillId="0" borderId="17" xfId="69" applyNumberFormat="1" applyFont="1" applyFill="1" applyBorder="1" applyAlignment="1" applyProtection="1">
      <alignment horizontal="center" vertical="center"/>
    </xf>
    <xf numFmtId="0" fontId="26" fillId="0" borderId="0" xfId="69" applyFont="1" applyBorder="1" applyAlignment="1" applyProtection="1">
      <alignment horizontal="left" vertical="center"/>
    </xf>
    <xf numFmtId="0" fontId="1" fillId="0" borderId="0" xfId="69" applyFont="1" applyBorder="1" applyAlignment="1" applyProtection="1">
      <alignment horizontal="center" vertical="center"/>
    </xf>
    <xf numFmtId="0" fontId="35" fillId="0" borderId="14" xfId="69" applyFont="1" applyBorder="1" applyAlignment="1" applyProtection="1">
      <alignment horizontal="center" vertical="center" wrapText="1"/>
    </xf>
    <xf numFmtId="168" fontId="1" fillId="0" borderId="13" xfId="69" applyNumberFormat="1" applyFont="1" applyBorder="1" applyAlignment="1" applyProtection="1">
      <alignment horizontal="left"/>
    </xf>
    <xf numFmtId="49" fontId="1" fillId="25" borderId="32" xfId="69" applyNumberFormat="1" applyFont="1" applyFill="1" applyBorder="1" applyAlignment="1" applyProtection="1">
      <alignment horizontal="left" vertical="top" wrapText="1"/>
      <protection locked="0"/>
    </xf>
    <xf numFmtId="49" fontId="1" fillId="25" borderId="10" xfId="69" applyNumberFormat="1" applyFont="1" applyFill="1" applyBorder="1" applyAlignment="1" applyProtection="1">
      <alignment horizontal="left" vertical="top" wrapText="1"/>
      <protection locked="0"/>
    </xf>
    <xf numFmtId="49" fontId="1" fillId="25" borderId="19" xfId="69" applyNumberFormat="1" applyFont="1" applyFill="1" applyBorder="1" applyAlignment="1" applyProtection="1">
      <alignment horizontal="left" vertical="top" wrapText="1"/>
      <protection locked="0"/>
    </xf>
    <xf numFmtId="0" fontId="1" fillId="0" borderId="17" xfId="69" applyFont="1" applyBorder="1" applyAlignment="1" applyProtection="1">
      <alignment horizontal="center" vertical="center"/>
    </xf>
    <xf numFmtId="49" fontId="1" fillId="0" borderId="0" xfId="69" applyNumberFormat="1" applyFont="1" applyFill="1" applyBorder="1" applyAlignment="1" applyProtection="1">
      <alignment horizontal="left"/>
      <protection locked="0"/>
    </xf>
    <xf numFmtId="0" fontId="47" fillId="0" borderId="0" xfId="69" applyFont="1" applyAlignment="1" applyProtection="1">
      <alignment horizontal="center" vertical="top" wrapText="1"/>
    </xf>
    <xf numFmtId="171" fontId="1" fillId="0" borderId="13" xfId="69" applyNumberFormat="1" applyFont="1" applyFill="1" applyBorder="1" applyAlignment="1" applyProtection="1">
      <alignment horizontal="left"/>
    </xf>
    <xf numFmtId="0" fontId="1" fillId="0" borderId="14" xfId="69" applyFont="1" applyBorder="1" applyAlignment="1" applyProtection="1">
      <alignment horizontal="left" vertical="center"/>
    </xf>
    <xf numFmtId="0" fontId="22" fillId="0" borderId="14" xfId="69" applyFont="1" applyFill="1" applyBorder="1" applyAlignment="1" applyProtection="1">
      <alignment horizontal="center" vertical="center"/>
    </xf>
    <xf numFmtId="0" fontId="41" fillId="0" borderId="0" xfId="0" quotePrefix="1" applyFont="1" applyBorder="1" applyAlignment="1" applyProtection="1">
      <alignment horizontal="left" vertical="center"/>
    </xf>
    <xf numFmtId="0" fontId="41" fillId="0" borderId="0" xfId="0" applyFont="1" applyBorder="1" applyAlignment="1" applyProtection="1">
      <alignment horizontal="left" vertical="center"/>
    </xf>
    <xf numFmtId="0" fontId="42" fillId="0" borderId="0" xfId="0" applyFont="1" applyBorder="1" applyAlignment="1" applyProtection="1">
      <alignment horizontal="center"/>
    </xf>
    <xf numFmtId="0" fontId="41" fillId="0" borderId="0" xfId="0" applyFont="1" applyBorder="1" applyAlignment="1" applyProtection="1">
      <alignment horizontal="center" vertical="top"/>
    </xf>
    <xf numFmtId="0" fontId="41" fillId="0" borderId="0" xfId="0" applyFont="1" applyBorder="1" applyAlignment="1" applyProtection="1">
      <alignment horizontal="right" vertical="center"/>
    </xf>
    <xf numFmtId="169" fontId="2" fillId="25" borderId="18" xfId="67" applyFont="1" applyFill="1" applyBorder="1" applyAlignment="1" applyProtection="1">
      <alignment horizontal="left"/>
      <protection locked="0"/>
    </xf>
    <xf numFmtId="169" fontId="2" fillId="25" borderId="13" xfId="67" applyFont="1" applyFill="1" applyBorder="1" applyAlignment="1" applyProtection="1">
      <alignment horizontal="left"/>
      <protection locked="0"/>
    </xf>
    <xf numFmtId="169" fontId="2" fillId="25" borderId="38" xfId="67" applyFont="1" applyFill="1" applyBorder="1" applyAlignment="1" applyProtection="1">
      <alignment horizontal="left"/>
      <protection locked="0"/>
    </xf>
    <xf numFmtId="0" fontId="1" fillId="0" borderId="18" xfId="69" applyFont="1" applyFill="1" applyBorder="1" applyAlignment="1" applyProtection="1">
      <alignment horizontal="center" vertical="top" wrapText="1"/>
    </xf>
    <xf numFmtId="0" fontId="1" fillId="0" borderId="38" xfId="69" applyFont="1" applyFill="1" applyBorder="1" applyAlignment="1" applyProtection="1">
      <alignment horizontal="center" vertical="top" wrapText="1"/>
    </xf>
    <xf numFmtId="0" fontId="1" fillId="0" borderId="18" xfId="69" applyFont="1" applyFill="1" applyBorder="1" applyAlignment="1" applyProtection="1">
      <alignment horizontal="left" vertical="top" wrapText="1"/>
    </xf>
    <xf numFmtId="0" fontId="1" fillId="0" borderId="38" xfId="69" applyFont="1" applyFill="1" applyBorder="1" applyAlignment="1" applyProtection="1">
      <alignment horizontal="left" vertical="top" wrapText="1"/>
    </xf>
    <xf numFmtId="49" fontId="1" fillId="0" borderId="18" xfId="69" applyNumberFormat="1" applyFont="1" applyFill="1" applyBorder="1" applyAlignment="1" applyProtection="1">
      <alignment horizontal="left" vertical="top" wrapText="1"/>
    </xf>
    <xf numFmtId="0" fontId="1" fillId="0" borderId="13" xfId="69" applyNumberFormat="1" applyFont="1" applyFill="1" applyBorder="1" applyAlignment="1" applyProtection="1">
      <alignment horizontal="left" vertical="top" wrapText="1"/>
    </xf>
    <xf numFmtId="0" fontId="1" fillId="0" borderId="38" xfId="69" applyNumberFormat="1" applyFont="1" applyFill="1" applyBorder="1" applyAlignment="1" applyProtection="1">
      <alignment horizontal="left" vertical="top" wrapText="1"/>
    </xf>
    <xf numFmtId="0" fontId="2" fillId="0" borderId="16" xfId="67" applyNumberFormat="1" applyFont="1" applyFill="1" applyBorder="1" applyAlignment="1" applyProtection="1">
      <alignment horizontal="left" wrapText="1"/>
    </xf>
    <xf numFmtId="0" fontId="22" fillId="0" borderId="0" xfId="69" applyFont="1" applyBorder="1" applyAlignment="1" applyProtection="1">
      <alignment horizontal="left" vertical="center"/>
    </xf>
    <xf numFmtId="10" fontId="2" fillId="25" borderId="14" xfId="69" applyNumberFormat="1" applyFont="1" applyFill="1" applyBorder="1" applyAlignment="1" applyProtection="1">
      <alignment horizontal="center"/>
      <protection locked="0"/>
    </xf>
    <xf numFmtId="0" fontId="2" fillId="0" borderId="14" xfId="69" applyFont="1" applyFill="1" applyBorder="1" applyAlignment="1" applyProtection="1">
      <alignment horizontal="left"/>
    </xf>
    <xf numFmtId="0" fontId="26" fillId="0" borderId="14" xfId="69" applyFont="1" applyBorder="1" applyAlignment="1" applyProtection="1">
      <alignment horizontal="center" vertical="center"/>
    </xf>
    <xf numFmtId="0" fontId="2" fillId="0" borderId="14" xfId="69" applyFont="1" applyFill="1" applyBorder="1" applyAlignment="1" applyProtection="1">
      <alignment horizontal="left" wrapText="1"/>
    </xf>
    <xf numFmtId="0" fontId="26" fillId="0" borderId="14" xfId="69" applyFont="1" applyFill="1" applyBorder="1" applyAlignment="1" applyProtection="1">
      <alignment horizontal="center" vertical="center"/>
    </xf>
    <xf numFmtId="4" fontId="26" fillId="0" borderId="14" xfId="69" applyNumberFormat="1" applyFont="1" applyFill="1" applyBorder="1" applyAlignment="1" applyProtection="1">
      <alignment horizontal="center" vertical="center" wrapText="1"/>
    </xf>
    <xf numFmtId="0" fontId="1" fillId="0" borderId="14" xfId="0" applyFont="1" applyBorder="1" applyAlignment="1">
      <alignment horizontal="center"/>
    </xf>
    <xf numFmtId="0" fontId="26" fillId="0" borderId="32" xfId="0" applyFont="1" applyFill="1" applyBorder="1" applyAlignment="1" applyProtection="1">
      <alignment horizontal="left" wrapText="1"/>
    </xf>
    <xf numFmtId="0" fontId="26" fillId="0" borderId="10"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30" fillId="25" borderId="11" xfId="0" applyFont="1" applyFill="1" applyBorder="1" applyAlignment="1" applyProtection="1">
      <alignment horizontal="left" wrapText="1"/>
      <protection locked="0"/>
    </xf>
    <xf numFmtId="0" fontId="30" fillId="25" borderId="0" xfId="0" applyFont="1" applyFill="1" applyBorder="1" applyAlignment="1" applyProtection="1">
      <alignment horizontal="left" wrapText="1"/>
      <protection locked="0"/>
    </xf>
    <xf numFmtId="0" fontId="30" fillId="25" borderId="12" xfId="0" applyFont="1" applyFill="1" applyBorder="1" applyAlignment="1" applyProtection="1">
      <alignment horizontal="left" wrapText="1"/>
      <protection locked="0"/>
    </xf>
    <xf numFmtId="0" fontId="30" fillId="25" borderId="18" xfId="0" applyFont="1" applyFill="1" applyBorder="1" applyAlignment="1" applyProtection="1">
      <alignment horizontal="left" wrapText="1"/>
      <protection locked="0"/>
    </xf>
    <xf numFmtId="0" fontId="30" fillId="25" borderId="13" xfId="0" applyFont="1" applyFill="1" applyBorder="1" applyAlignment="1" applyProtection="1">
      <alignment horizontal="left" wrapText="1"/>
      <protection locked="0"/>
    </xf>
    <xf numFmtId="0" fontId="30" fillId="25" borderId="38" xfId="0" applyFont="1" applyFill="1" applyBorder="1" applyAlignment="1" applyProtection="1">
      <alignment horizontal="left" wrapText="1"/>
      <protection locked="0"/>
    </xf>
    <xf numFmtId="0" fontId="30" fillId="0" borderId="32"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170" fontId="1" fillId="0" borderId="0" xfId="0" applyNumberFormat="1" applyFont="1" applyBorder="1" applyAlignment="1" applyProtection="1">
      <alignment horizontal="left"/>
      <protection locked="0"/>
    </xf>
    <xf numFmtId="171" fontId="1" fillId="0" borderId="13" xfId="0" applyNumberFormat="1" applyFont="1" applyBorder="1" applyAlignment="1" applyProtection="1">
      <alignment horizontal="left"/>
      <protection locked="0"/>
    </xf>
    <xf numFmtId="171" fontId="1" fillId="0" borderId="13" xfId="0" applyNumberFormat="1" applyFont="1" applyBorder="1" applyAlignment="1" applyProtection="1">
      <alignment horizontal="left"/>
    </xf>
    <xf numFmtId="170" fontId="1" fillId="0" borderId="13" xfId="0" applyNumberFormat="1" applyFont="1" applyBorder="1" applyAlignment="1" applyProtection="1">
      <alignment horizontal="left"/>
    </xf>
    <xf numFmtId="0" fontId="30" fillId="30" borderId="36" xfId="0" applyFont="1" applyFill="1" applyBorder="1" applyAlignment="1" applyProtection="1">
      <alignment horizontal="center" vertical="center" shrinkToFit="1"/>
    </xf>
    <xf numFmtId="0" fontId="30" fillId="30" borderId="11" xfId="0" applyFont="1" applyFill="1" applyBorder="1" applyAlignment="1" applyProtection="1">
      <alignment horizontal="center" vertical="center" shrinkToFit="1"/>
    </xf>
    <xf numFmtId="0" fontId="30" fillId="30" borderId="37" xfId="0" applyFont="1" applyFill="1" applyBorder="1" applyAlignment="1" applyProtection="1">
      <alignment horizontal="center" vertical="center" wrapText="1"/>
    </xf>
    <xf numFmtId="0" fontId="30" fillId="30" borderId="12" xfId="0" applyFont="1" applyFill="1" applyBorder="1" applyAlignment="1" applyProtection="1">
      <alignment horizontal="center" vertical="center" wrapText="1"/>
    </xf>
    <xf numFmtId="4" fontId="30" fillId="30" borderId="28" xfId="0" applyNumberFormat="1" applyFont="1" applyFill="1" applyBorder="1" applyAlignment="1" applyProtection="1">
      <alignment horizontal="center" vertical="center"/>
    </xf>
    <xf numFmtId="4" fontId="30" fillId="30" borderId="15" xfId="0" applyNumberFormat="1" applyFont="1" applyFill="1" applyBorder="1" applyAlignment="1" applyProtection="1">
      <alignment horizontal="center" vertical="center"/>
    </xf>
    <xf numFmtId="168"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171" fontId="1" fillId="0" borderId="13" xfId="0" applyNumberFormat="1" applyFont="1" applyFill="1" applyBorder="1" applyAlignment="1" applyProtection="1">
      <alignment horizontal="left" vertical="center"/>
    </xf>
    <xf numFmtId="0" fontId="49" fillId="0" borderId="0" xfId="0" applyFont="1" applyAlignment="1" applyProtection="1">
      <alignment horizontal="center" vertical="top" wrapText="1"/>
    </xf>
    <xf numFmtId="170" fontId="1" fillId="0" borderId="13" xfId="0" applyNumberFormat="1" applyFont="1" applyBorder="1" applyAlignment="1" applyProtection="1">
      <alignment horizontal="left" vertical="center"/>
    </xf>
    <xf numFmtId="0" fontId="26" fillId="24" borderId="21" xfId="0" applyFont="1" applyFill="1" applyBorder="1" applyAlignment="1" applyProtection="1">
      <alignment horizontal="center" vertical="center" wrapText="1"/>
    </xf>
    <xf numFmtId="0" fontId="26" fillId="24" borderId="39" xfId="0" applyFont="1" applyFill="1" applyBorder="1" applyAlignment="1" applyProtection="1">
      <alignment horizontal="center" vertical="center" wrapText="1"/>
    </xf>
    <xf numFmtId="0" fontId="26" fillId="24" borderId="11" xfId="0" applyFont="1" applyFill="1" applyBorder="1" applyAlignment="1" applyProtection="1">
      <alignment horizontal="center" vertical="center" wrapText="1"/>
    </xf>
    <xf numFmtId="0" fontId="26" fillId="24" borderId="12" xfId="0" applyFont="1" applyFill="1" applyBorder="1" applyAlignment="1" applyProtection="1">
      <alignment horizontal="center" vertical="center" wrapText="1"/>
    </xf>
    <xf numFmtId="0" fontId="26" fillId="24" borderId="18" xfId="0" applyFont="1" applyFill="1" applyBorder="1" applyAlignment="1" applyProtection="1">
      <alignment horizontal="center" vertical="center" wrapText="1"/>
    </xf>
    <xf numFmtId="0" fontId="26" fillId="24" borderId="38" xfId="0" applyFont="1" applyFill="1" applyBorder="1" applyAlignment="1" applyProtection="1">
      <alignment horizontal="center" vertical="center" wrapText="1"/>
    </xf>
    <xf numFmtId="4" fontId="26" fillId="24" borderId="30" xfId="0" applyNumberFormat="1" applyFont="1" applyFill="1" applyBorder="1" applyAlignment="1" applyProtection="1">
      <alignment horizontal="center" vertical="center" shrinkToFit="1"/>
    </xf>
    <xf numFmtId="4" fontId="26" fillId="24" borderId="15" xfId="0" applyNumberFormat="1" applyFont="1" applyFill="1" applyBorder="1" applyAlignment="1" applyProtection="1">
      <alignment horizontal="center" vertical="center" shrinkToFit="1"/>
    </xf>
    <xf numFmtId="4" fontId="26" fillId="24" borderId="16" xfId="0" applyNumberFormat="1" applyFont="1" applyFill="1" applyBorder="1" applyAlignment="1" applyProtection="1">
      <alignment horizontal="center" vertical="center" shrinkToFit="1"/>
    </xf>
  </cellXfs>
  <cellStyles count="8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xfId="7" builtinId="30" customBuiltin="1"/>
    <cellStyle name="20% - Ênfase2" xfId="8" builtinId="34" customBuiltin="1"/>
    <cellStyle name="20% - Ênfase3" xfId="9" builtinId="38" customBuiltin="1"/>
    <cellStyle name="20% - Ênfase4" xfId="10" builtinId="42" customBuiltin="1"/>
    <cellStyle name="20% - Ênfase5" xfId="11" builtinId="46" customBuiltin="1"/>
    <cellStyle name="20% - Ênfase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xfId="19" builtinId="31" customBuiltin="1"/>
    <cellStyle name="40% - Ênfase2" xfId="20" builtinId="35" customBuiltin="1"/>
    <cellStyle name="40% - Ênfase3" xfId="21" builtinId="39" customBuiltin="1"/>
    <cellStyle name="40% - Ênfase4" xfId="22" builtinId="43" customBuiltin="1"/>
    <cellStyle name="40% - Ênfase5" xfId="23" builtinId="47" customBuiltin="1"/>
    <cellStyle name="40% - Ênfase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xfId="31" builtinId="32" customBuiltin="1"/>
    <cellStyle name="60% - Ênfase2" xfId="32" builtinId="36" customBuiltin="1"/>
    <cellStyle name="60% - Ênfase3" xfId="33" builtinId="40" customBuiltin="1"/>
    <cellStyle name="60% - Ênfase4" xfId="34" builtinId="44" customBuiltin="1"/>
    <cellStyle name="60% - Ênfase5" xfId="35" builtinId="48" customBuiltin="1"/>
    <cellStyle name="60% - Ênfase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xfId="44" builtinId="26" customBuiltin="1"/>
    <cellStyle name="Calculation" xfId="45" xr:uid="{00000000-0005-0000-0000-00002C000000}"/>
    <cellStyle name="Cálculo" xfId="46" builtinId="22" customBuiltin="1"/>
    <cellStyle name="Célula de Verificação" xfId="47" builtinId="23" customBuiltin="1"/>
    <cellStyle name="Célula Vinculada" xfId="48" builtinId="24" customBuiltin="1"/>
    <cellStyle name="Check Cell" xfId="49" xr:uid="{00000000-0005-0000-0000-000030000000}"/>
    <cellStyle name="Ênfase1" xfId="50" builtinId="29" customBuiltin="1"/>
    <cellStyle name="Ênfase2" xfId="51" builtinId="33" customBuiltin="1"/>
    <cellStyle name="Ênfase3" xfId="52" builtinId="37" customBuiltin="1"/>
    <cellStyle name="Ênfase4" xfId="53" builtinId="41" customBuiltin="1"/>
    <cellStyle name="Ênfase5" xfId="54" builtinId="45" customBuiltin="1"/>
    <cellStyle name="Ênfase6" xfId="55" builtinId="49" customBuiltin="1"/>
    <cellStyle name="Entrada" xfId="56" builtinId="20" customBuiltin="1"/>
    <cellStyle name="Excel Built-in Normal" xfId="57" xr:uid="{00000000-0005-0000-0000-000038000000}"/>
    <cellStyle name="Explanatory Text" xfId="58" xr:uid="{00000000-0005-0000-0000-000039000000}"/>
    <cellStyle name="Good"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4" xr:uid="{00000000-0005-0000-0000-00003F000000}"/>
    <cellStyle name="Linked Cell" xfId="65" xr:uid="{00000000-0005-0000-0000-000040000000}"/>
    <cellStyle name="Moeda 2" xfId="66" xr:uid="{00000000-0005-0000-0000-000041000000}"/>
    <cellStyle name="Moeda_Composicao BDI v2.1" xfId="67" xr:uid="{00000000-0005-0000-0000-000042000000}"/>
    <cellStyle name="Neutral" xfId="68" xr:uid="{00000000-0005-0000-0000-000043000000}"/>
    <cellStyle name="Normal" xfId="0" builtinId="0"/>
    <cellStyle name="Normal 2" xfId="69" xr:uid="{00000000-0005-0000-0000-000045000000}"/>
    <cellStyle name="Normal_FICHA DE VERIFICAÇÃO PRELIMINAR - Plano R" xfId="70" xr:uid="{00000000-0005-0000-0000-000046000000}"/>
    <cellStyle name="Nota" xfId="71" builtinId="10" customBuiltin="1"/>
    <cellStyle name="Note" xfId="72" xr:uid="{00000000-0005-0000-0000-000048000000}"/>
    <cellStyle name="Output" xfId="73" xr:uid="{00000000-0005-0000-0000-000049000000}"/>
    <cellStyle name="Porcentagem" xfId="74" builtinId="5"/>
    <cellStyle name="Saída" xfId="75" builtinId="21" customBuiltin="1"/>
    <cellStyle name="Texto de Aviso" xfId="76" builtinId="11" customBuiltin="1"/>
    <cellStyle name="Texto Explicativo" xfId="77" builtinId="53" customBuiltin="1"/>
    <cellStyle name="Title" xfId="78" xr:uid="{00000000-0005-0000-0000-00004E000000}"/>
    <cellStyle name="Título" xfId="79" builtinId="15" customBuiltin="1"/>
    <cellStyle name="Título 1" xfId="80" builtinId="16" customBuiltin="1"/>
    <cellStyle name="Título 2" xfId="81" builtinId="17" customBuiltin="1"/>
    <cellStyle name="Título 3" xfId="82" builtinId="18" customBuiltin="1"/>
    <cellStyle name="Título 4" xfId="83" builtinId="19" customBuiltin="1"/>
    <cellStyle name="Total" xfId="84" builtinId="25" customBuiltin="1"/>
    <cellStyle name="Vírgula" xfId="85" builtinId="3"/>
    <cellStyle name="Warning Text" xfId="86" xr:uid="{00000000-0005-0000-0000-000056000000}"/>
  </cellStyles>
  <dxfs count="816">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ont>
        <b/>
        <i val="0"/>
      </font>
      <fill>
        <patternFill>
          <bgColor indexed="55"/>
        </patternFill>
      </fill>
      <border>
        <top style="thin">
          <color indexed="64"/>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ont>
        <b/>
        <i val="0"/>
      </font>
      <fill>
        <patternFill>
          <bgColor indexed="55"/>
        </patternFill>
      </fill>
      <border>
        <top style="thin">
          <color indexed="64"/>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font>
      <fill>
        <patternFill>
          <bgColor indexed="55"/>
        </patternFill>
      </fill>
      <border>
        <top style="thin">
          <color indexed="64"/>
        </top>
      </border>
    </dxf>
    <dxf>
      <font>
        <condense val="0"/>
        <extend val="0"/>
        <color indexed="9"/>
      </font>
      <fill>
        <patternFill patternType="none">
          <bgColor indexed="65"/>
        </patternFill>
      </fill>
      <border>
        <left/>
        <right/>
        <top/>
        <bottom/>
      </border>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ill>
        <patternFill>
          <bgColor indexed="43"/>
        </patternFill>
      </fill>
    </dxf>
    <dxf>
      <font>
        <condense val="0"/>
        <extend val="0"/>
        <color indexed="9"/>
      </font>
      <fill>
        <patternFill patternType="none">
          <bgColor indexed="65"/>
        </patternFill>
      </fill>
      <border>
        <left/>
        <right/>
        <top/>
        <bottom/>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border>
        <left/>
        <right/>
        <top/>
        <bottom/>
      </border>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checked="Checked" fmlaLink="$X$3" noThreeD="1"/>
</file>

<file path=xl/ctrlProps/ctrlProp4.xml><?xml version="1.0" encoding="utf-8"?>
<formControlPr xmlns="http://schemas.microsoft.com/office/spreadsheetml/2009/9/main" objectType="CheckBox" checked="Checked" fmlaLink="$X$4" noThreeD="1"/>
</file>

<file path=xl/ctrlProps/ctrlProp5.xml><?xml version="1.0" encoding="utf-8"?>
<formControlPr xmlns="http://schemas.microsoft.com/office/spreadsheetml/2009/9/main" objectType="CheckBox" checked="Checked" fmlaLink="$X$5" noThreeD="1"/>
</file>

<file path=xl/ctrlProps/ctrlProp6.xml><?xml version="1.0" encoding="utf-8"?>
<formControlPr xmlns="http://schemas.microsoft.com/office/spreadsheetml/2009/9/main" objectType="CheckBox" checked="Checked" fmlaLink="$X$6" noThreeD="1"/>
</file>

<file path=xl/ctrlProps/ctrlProp7.xml><?xml version="1.0" encoding="utf-8"?>
<formControlPr xmlns="http://schemas.microsoft.com/office/spreadsheetml/2009/9/main" objectType="CheckBox" checked="Checked" fmlaLink="$X$7"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8.emf"/><Relationship Id="rId1" Type="http://schemas.openxmlformats.org/officeDocument/2006/relationships/image" Target="../media/image4.emf"/><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8.emf"/><Relationship Id="rId1" Type="http://schemas.openxmlformats.org/officeDocument/2006/relationships/image" Target="../media/image10.emf"/><Relationship Id="rId5" Type="http://schemas.openxmlformats.org/officeDocument/2006/relationships/image" Target="../media/image2.emf"/><Relationship Id="rId4" Type="http://schemas.openxmlformats.org/officeDocument/2006/relationships/image" Target="../media/image1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9.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9.emf"/><Relationship Id="rId1" Type="http://schemas.openxmlformats.org/officeDocument/2006/relationships/image" Target="../media/image12.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12</xdr:col>
      <xdr:colOff>495300</xdr:colOff>
      <xdr:row>12</xdr:row>
      <xdr:rowOff>85725</xdr:rowOff>
    </xdr:from>
    <xdr:to>
      <xdr:col>15</xdr:col>
      <xdr:colOff>466725</xdr:colOff>
      <xdr:row>15</xdr:row>
      <xdr:rowOff>57150</xdr:rowOff>
    </xdr:to>
    <xdr:sp macro="[0]!Importar" textlink="">
      <xdr:nvSpPr>
        <xdr:cNvPr id="2" name="ImportButton">
          <a:extLst>
            <a:ext uri="{FF2B5EF4-FFF2-40B4-BE49-F238E27FC236}">
              <a16:creationId xmlns:a16="http://schemas.microsoft.com/office/drawing/2014/main" id="{00000000-0008-0000-0000-000002000000}"/>
            </a:ext>
          </a:extLst>
        </xdr:cNvPr>
        <xdr:cNvSpPr>
          <a:spLocks noChangeArrowheads="1"/>
        </xdr:cNvSpPr>
      </xdr:nvSpPr>
      <xdr:spPr bwMode="auto">
        <a:xfrm>
          <a:off x="8077200" y="1847850"/>
          <a:ext cx="1714500" cy="457200"/>
        </a:xfrm>
        <a:prstGeom prst="rect">
          <a:avLst/>
        </a:prstGeom>
        <a:solidFill>
          <a:srgbClr val="D0CECE"/>
        </a:solidFill>
        <a:ln w="6350" algn="ctr">
          <a:solidFill>
            <a:srgbClr val="41719C"/>
          </a:solidFill>
          <a:miter lim="800000"/>
          <a:headEnd/>
          <a:tailEnd/>
        </a:ln>
        <a:effectLst>
          <a:outerShdw dist="63500" dir="2700000" algn="tl" rotWithShape="0">
            <a:srgbClr val="000000"/>
          </a:outerShdw>
        </a:effectLst>
      </xdr:spPr>
      <xdr:txBody>
        <a:bodyPr vertOverflow="clip" wrap="square" lIns="27432" tIns="27432" rIns="27432" bIns="27432" anchor="ctr" upright="1"/>
        <a:lstStyle/>
        <a:p>
          <a:pPr algn="ctr" rtl="0">
            <a:defRPr sz="1000"/>
          </a:pPr>
          <a:r>
            <a:rPr lang="pt-BR" sz="1050" b="0" i="0" u="none" strike="noStrike" baseline="0">
              <a:solidFill>
                <a:srgbClr val="000000"/>
              </a:solidFill>
              <a:latin typeface="Calibri"/>
            </a:rPr>
            <a:t>Importar PO</a:t>
          </a:r>
        </a:p>
        <a:p>
          <a:pPr algn="ctr" rtl="0">
            <a:defRPr sz="1000"/>
          </a:pPr>
          <a:r>
            <a:rPr lang="pt-BR" sz="1050" b="0" i="0" u="none" strike="noStrike" baseline="0">
              <a:solidFill>
                <a:srgbClr val="000000"/>
              </a:solidFill>
              <a:latin typeface="Calibri"/>
            </a:rPr>
            <a:t>(MO27476)</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381000</xdr:colOff>
          <xdr:row>18</xdr:row>
          <xdr:rowOff>85725</xdr:rowOff>
        </xdr:from>
        <xdr:to>
          <xdr:col>5</xdr:col>
          <xdr:colOff>228600</xdr:colOff>
          <xdr:row>20</xdr:row>
          <xdr:rowOff>47625</xdr:rowOff>
        </xdr:to>
        <xdr:sp macro="" textlink="">
          <xdr:nvSpPr>
            <xdr:cNvPr id="34202" name="OptionPLQ-ON" descr="Parcela 1" hidden="1">
              <a:extLst>
                <a:ext uri="{63B3BB69-23CF-44E3-9099-C40C66FF867C}">
                  <a14:compatExt spid="_x0000_s34202"/>
                </a:ext>
                <a:ext uri="{FF2B5EF4-FFF2-40B4-BE49-F238E27FC236}">
                  <a16:creationId xmlns:a16="http://schemas.microsoft.com/office/drawing/2014/main" id="{00000000-0008-0000-0000-00009A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MÚLTIPLAS FRENTES (PREENCHIMENTO NA PLQ)</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18</xdr:row>
          <xdr:rowOff>85725</xdr:rowOff>
        </xdr:from>
        <xdr:to>
          <xdr:col>11</xdr:col>
          <xdr:colOff>142875</xdr:colOff>
          <xdr:row>20</xdr:row>
          <xdr:rowOff>47625</xdr:rowOff>
        </xdr:to>
        <xdr:sp macro="" textlink="">
          <xdr:nvSpPr>
            <xdr:cNvPr id="34203" name="OptionPLQ-OFF" descr="Parcela 1" hidden="1">
              <a:extLst>
                <a:ext uri="{63B3BB69-23CF-44E3-9099-C40C66FF867C}">
                  <a14:compatExt spid="_x0000_s34203"/>
                </a:ext>
                <a:ext uri="{FF2B5EF4-FFF2-40B4-BE49-F238E27FC236}">
                  <a16:creationId xmlns:a16="http://schemas.microsoft.com/office/drawing/2014/main" id="{00000000-0008-0000-0000-00009B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FRENTE ÚNICA (PREENCHIMENTO DIRETAMENTE NA PO)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a:extLst>
            <a:ext uri="{FF2B5EF4-FFF2-40B4-BE49-F238E27FC236}">
              <a16:creationId xmlns:a16="http://schemas.microsoft.com/office/drawing/2014/main" id="{00000000-0008-0000-0100-000002000000}"/>
            </a:ext>
          </a:extLst>
        </xdr:cNvPr>
        <xdr:cNvSpPr txBox="1">
          <a:spLocks noChangeArrowheads="1"/>
        </xdr:cNvSpPr>
      </xdr:nvSpPr>
      <xdr:spPr bwMode="auto">
        <a:xfrm>
          <a:off x="7629525" y="885825"/>
          <a:ext cx="1057275" cy="3429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sp macro="" textlink="">
      <xdr:nvSpPr>
        <xdr:cNvPr id="156124" name="Object 476" hidden="1">
          <a:extLst>
            <a:ext uri="{63B3BB69-23CF-44E3-9099-C40C66FF867C}">
              <a14:compatExt xmlns:a14="http://schemas.microsoft.com/office/drawing/2010/main" spid="_x0000_s156124"/>
            </a:ext>
            <a:ext uri="{FF2B5EF4-FFF2-40B4-BE49-F238E27FC236}">
              <a16:creationId xmlns:a16="http://schemas.microsoft.com/office/drawing/2014/main" id="{00000000-0008-0000-0100-0000DC61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18</xdr:col>
          <xdr:colOff>19050</xdr:colOff>
          <xdr:row>2</xdr:row>
          <xdr:rowOff>57150</xdr:rowOff>
        </xdr:to>
        <xdr:pic>
          <xdr:nvPicPr>
            <xdr:cNvPr id="156569" name="SigiloPic">
              <a:extLst>
                <a:ext uri="{FF2B5EF4-FFF2-40B4-BE49-F238E27FC236}">
                  <a16:creationId xmlns:a16="http://schemas.microsoft.com/office/drawing/2014/main" id="{00000000-0008-0000-0100-000099630200}"/>
                </a:ext>
              </a:extLst>
            </xdr:cNvPr>
            <xdr:cNvPicPr>
              <a:picLocks noChangeArrowheads="1"/>
              <a:extLst>
                <a:ext uri="{84589F7E-364E-4C9E-8A38-B11213B215E9}">
                  <a14:cameraTool cellRange="PO!$T$1:$T$2" spid="_x0000_s206918"/>
                </a:ext>
              </a:extLst>
            </xdr:cNvPicPr>
          </xdr:nvPicPr>
          <xdr:blipFill>
            <a:blip xmlns:r="http://schemas.openxmlformats.org/officeDocument/2006/relationships" r:embed="rId1"/>
            <a:srcRect/>
            <a:stretch>
              <a:fillRect/>
            </a:stretch>
          </xdr:blipFill>
          <xdr:spPr bwMode="auto">
            <a:xfrm>
              <a:off x="6172200" y="28575"/>
              <a:ext cx="113347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8</xdr:col>
      <xdr:colOff>28575</xdr:colOff>
      <xdr:row>0</xdr:row>
      <xdr:rowOff>19050</xdr:rowOff>
    </xdr:from>
    <xdr:to>
      <xdr:col>10</xdr:col>
      <xdr:colOff>390525</xdr:colOff>
      <xdr:row>2</xdr:row>
      <xdr:rowOff>47625</xdr:rowOff>
    </xdr:to>
    <xdr:pic>
      <xdr:nvPicPr>
        <xdr:cNvPr id="3" name="Picture 47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907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3</xdr:row>
          <xdr:rowOff>0</xdr:rowOff>
        </xdr:from>
        <xdr:to>
          <xdr:col>19</xdr:col>
          <xdr:colOff>923925</xdr:colOff>
          <xdr:row>6</xdr:row>
          <xdr:rowOff>219075</xdr:rowOff>
        </xdr:to>
        <xdr:pic>
          <xdr:nvPicPr>
            <xdr:cNvPr id="198585" name="Picture 482">
              <a:extLst>
                <a:ext uri="{FF2B5EF4-FFF2-40B4-BE49-F238E27FC236}">
                  <a16:creationId xmlns:a16="http://schemas.microsoft.com/office/drawing/2014/main" id="{00000000-0008-0000-0200-0000B9070300}"/>
                </a:ext>
              </a:extLst>
            </xdr:cNvPr>
            <xdr:cNvPicPr>
              <a:picLocks noChangeArrowheads="1"/>
              <a:extLst>
                <a:ext uri="{84589F7E-364E-4C9E-8A38-B11213B215E9}">
                  <a14:cameraTool cellRange="DADOS!$A$220:$X$230" spid="_x0000_s202029"/>
                </a:ext>
              </a:extLst>
            </xdr:cNvPicPr>
          </xdr:nvPicPr>
          <xdr:blipFill>
            <a:blip xmlns:r="http://schemas.openxmlformats.org/officeDocument/2006/relationships" r:embed="rId1"/>
            <a:srcRect/>
            <a:stretch>
              <a:fillRect/>
            </a:stretch>
          </xdr:blipFill>
          <xdr:spPr bwMode="auto">
            <a:xfrm>
              <a:off x="581025" y="485775"/>
              <a:ext cx="13820775"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10</xdr:col>
      <xdr:colOff>57150</xdr:colOff>
      <xdr:row>0</xdr:row>
      <xdr:rowOff>19050</xdr:rowOff>
    </xdr:from>
    <xdr:to>
      <xdr:col>11</xdr:col>
      <xdr:colOff>1009650</xdr:colOff>
      <xdr:row>2</xdr:row>
      <xdr:rowOff>76200</xdr:rowOff>
    </xdr:to>
    <xdr:sp macro="" textlink="">
      <xdr:nvSpPr>
        <xdr:cNvPr id="185899" name="Object 5675" hidden="1">
          <a:extLst>
            <a:ext uri="{63B3BB69-23CF-44E3-9099-C40C66FF867C}">
              <a14:compatExt xmlns:a14="http://schemas.microsoft.com/office/drawing/2010/main" spid="_x0000_s185899"/>
            </a:ext>
            <a:ext uri="{FF2B5EF4-FFF2-40B4-BE49-F238E27FC236}">
              <a16:creationId xmlns:a16="http://schemas.microsoft.com/office/drawing/2014/main" id="{00000000-0008-0000-0200-00002BD6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142874</xdr:colOff>
      <xdr:row>7</xdr:row>
      <xdr:rowOff>166687</xdr:rowOff>
    </xdr:from>
    <xdr:to>
      <xdr:col>13</xdr:col>
      <xdr:colOff>1619249</xdr:colOff>
      <xdr:row>7</xdr:row>
      <xdr:rowOff>347662</xdr:rowOff>
    </xdr:to>
    <xdr:sp macro="[0]!EditarPlan" textlink="">
      <xdr:nvSpPr>
        <xdr:cNvPr id="5" name="EditarButton">
          <a:extLst>
            <a:ext uri="{FF2B5EF4-FFF2-40B4-BE49-F238E27FC236}">
              <a16:creationId xmlns:a16="http://schemas.microsoft.com/office/drawing/2014/main" id="{00000000-0008-0000-0200-000005000000}"/>
            </a:ext>
          </a:extLst>
        </xdr:cNvPr>
        <xdr:cNvSpPr txBox="1">
          <a:spLocks noChangeArrowheads="1"/>
        </xdr:cNvSpPr>
      </xdr:nvSpPr>
      <xdr:spPr bwMode="auto">
        <a:xfrm>
          <a:off x="3667124" y="1905000"/>
          <a:ext cx="1476375" cy="180975"/>
        </a:xfrm>
        <a:prstGeom prst="rect">
          <a:avLst/>
        </a:prstGeom>
        <a:solidFill>
          <a:srgbClr val="99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PLANILHA</a:t>
          </a:r>
        </a:p>
      </xdr:txBody>
    </xdr:sp>
    <xdr:clientData fPrintsWithSheet="0"/>
  </xdr:twoCellAnchor>
  <xdr:twoCellAnchor>
    <xdr:from>
      <xdr:col>13</xdr:col>
      <xdr:colOff>3762375</xdr:colOff>
      <xdr:row>7</xdr:row>
      <xdr:rowOff>166687</xdr:rowOff>
    </xdr:from>
    <xdr:to>
      <xdr:col>13</xdr:col>
      <xdr:colOff>5076826</xdr:colOff>
      <xdr:row>9</xdr:row>
      <xdr:rowOff>154779</xdr:rowOff>
    </xdr:to>
    <xdr:sp macro="[0]!licitacaouserform" textlink="">
      <xdr:nvSpPr>
        <xdr:cNvPr id="6" name="LicitButton">
          <a:extLst>
            <a:ext uri="{FF2B5EF4-FFF2-40B4-BE49-F238E27FC236}">
              <a16:creationId xmlns:a16="http://schemas.microsoft.com/office/drawing/2014/main" id="{00000000-0008-0000-0200-000006000000}"/>
            </a:ext>
          </a:extLst>
        </xdr:cNvPr>
        <xdr:cNvSpPr txBox="1">
          <a:spLocks noChangeArrowheads="1"/>
        </xdr:cNvSpPr>
      </xdr:nvSpPr>
      <xdr:spPr bwMode="auto">
        <a:xfrm>
          <a:off x="7286625" y="1905000"/>
          <a:ext cx="1314451" cy="369092"/>
        </a:xfrm>
        <a:prstGeom prst="rect">
          <a:avLst/>
        </a:prstGeom>
        <a:solidFill>
          <a:srgbClr xmlns:mc="http://schemas.openxmlformats.org/markup-compatibility/2006" xmlns:a14="http://schemas.microsoft.com/office/drawing/2010/main" val="33CCCC" mc:Ignorable="a14" a14:legacySpreadsheetColorIndex="4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LICITAR / REPROGRAMAR</a:t>
          </a:r>
        </a:p>
      </xdr:txBody>
    </xdr:sp>
    <xdr:clientData fPrintsWithSheet="0"/>
  </xdr:twoCellAnchor>
  <mc:AlternateContent xmlns:mc="http://schemas.openxmlformats.org/markup-compatibility/2006">
    <mc:Choice xmlns:a14="http://schemas.microsoft.com/office/drawing/2010/main" Requires="a14">
      <xdr:twoCellAnchor>
        <xdr:from>
          <xdr:col>13</xdr:col>
          <xdr:colOff>3686175</xdr:colOff>
          <xdr:row>144</xdr:row>
          <xdr:rowOff>0</xdr:rowOff>
        </xdr:from>
        <xdr:to>
          <xdr:col>19</xdr:col>
          <xdr:colOff>123825</xdr:colOff>
          <xdr:row>149</xdr:row>
          <xdr:rowOff>0</xdr:rowOff>
        </xdr:to>
        <xdr:pic>
          <xdr:nvPicPr>
            <xdr:cNvPr id="198588" name="Picture 483">
              <a:extLst>
                <a:ext uri="{FF2B5EF4-FFF2-40B4-BE49-F238E27FC236}">
                  <a16:creationId xmlns:a16="http://schemas.microsoft.com/office/drawing/2014/main" id="{00000000-0008-0000-0200-0000BC070300}"/>
                </a:ext>
              </a:extLst>
            </xdr:cNvPr>
            <xdr:cNvPicPr>
              <a:picLocks noChangeArrowheads="1"/>
              <a:extLst>
                <a:ext uri="{84589F7E-364E-4C9E-8A38-B11213B215E9}">
                  <a14:cameraTool cellRange="DADOS!$A$53:$K$57" spid="_x0000_s202030"/>
                </a:ext>
              </a:extLst>
            </xdr:cNvPicPr>
          </xdr:nvPicPr>
          <xdr:blipFill>
            <a:blip xmlns:r="http://schemas.openxmlformats.org/officeDocument/2006/relationships" r:embed="rId2"/>
            <a:srcRect/>
            <a:stretch>
              <a:fillRect/>
            </a:stretch>
          </xdr:blipFill>
          <xdr:spPr bwMode="auto">
            <a:xfrm>
              <a:off x="7210425" y="35890200"/>
              <a:ext cx="6391275" cy="809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13</xdr:col>
      <xdr:colOff>1976437</xdr:colOff>
      <xdr:row>7</xdr:row>
      <xdr:rowOff>166686</xdr:rowOff>
    </xdr:from>
    <xdr:to>
      <xdr:col>13</xdr:col>
      <xdr:colOff>3452812</xdr:colOff>
      <xdr:row>7</xdr:row>
      <xdr:rowOff>346686</xdr:rowOff>
    </xdr:to>
    <xdr:sp macro="[0]!fixarReferencias" textlink="">
      <xdr:nvSpPr>
        <xdr:cNvPr id="7" name="FixarButton">
          <a:extLst>
            <a:ext uri="{FF2B5EF4-FFF2-40B4-BE49-F238E27FC236}">
              <a16:creationId xmlns:a16="http://schemas.microsoft.com/office/drawing/2014/main" id="{00000000-0008-0000-0200-000007000000}"/>
            </a:ext>
          </a:extLst>
        </xdr:cNvPr>
        <xdr:cNvSpPr txBox="1">
          <a:spLocks noChangeArrowheads="1"/>
        </xdr:cNvSpPr>
      </xdr:nvSpPr>
      <xdr:spPr bwMode="auto">
        <a:xfrm>
          <a:off x="5500687" y="1904999"/>
          <a:ext cx="1476375" cy="180000"/>
        </a:xfrm>
        <a:prstGeom prst="rect">
          <a:avLst/>
        </a:prstGeom>
        <a:solidFill>
          <a:srgbClr val="99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FIXAR DESCRICOES</a:t>
          </a:r>
        </a:p>
      </xdr:txBody>
    </xdr:sp>
    <xdr:clientData fPrintsWithSheet="0"/>
  </xdr:twoCellAnchor>
  <xdr:twoCellAnchor>
    <xdr:from>
      <xdr:col>11</xdr:col>
      <xdr:colOff>378619</xdr:colOff>
      <xdr:row>7</xdr:row>
      <xdr:rowOff>164306</xdr:rowOff>
    </xdr:from>
    <xdr:to>
      <xdr:col>12</xdr:col>
      <xdr:colOff>807244</xdr:colOff>
      <xdr:row>7</xdr:row>
      <xdr:rowOff>345281</xdr:rowOff>
    </xdr:to>
    <xdr:sp macro="[0]!buscaCodigo" textlink="">
      <xdr:nvSpPr>
        <xdr:cNvPr id="8" name="BuscarButton">
          <a:extLst>
            <a:ext uri="{FF2B5EF4-FFF2-40B4-BE49-F238E27FC236}">
              <a16:creationId xmlns:a16="http://schemas.microsoft.com/office/drawing/2014/main" id="{00000000-0008-0000-0200-000008000000}"/>
            </a:ext>
          </a:extLst>
        </xdr:cNvPr>
        <xdr:cNvSpPr txBox="1">
          <a:spLocks noChangeArrowheads="1"/>
        </xdr:cNvSpPr>
      </xdr:nvSpPr>
      <xdr:spPr bwMode="auto">
        <a:xfrm>
          <a:off x="1807369" y="1902619"/>
          <a:ext cx="1476375" cy="180975"/>
        </a:xfrm>
        <a:prstGeom prst="rect">
          <a:avLst/>
        </a:prstGeom>
        <a:solidFill>
          <a:srgbClr val="99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BUSCAR CÓDIGO</a:t>
          </a:r>
        </a:p>
      </xdr:txBody>
    </xdr:sp>
    <xdr:clientData fPrintsWithSheet="0"/>
  </xdr:twoCellAnchor>
  <xdr:twoCellAnchor editAs="oneCell">
    <xdr:from>
      <xdr:col>14</xdr:col>
      <xdr:colOff>714374</xdr:colOff>
      <xdr:row>6</xdr:row>
      <xdr:rowOff>285748</xdr:rowOff>
    </xdr:from>
    <xdr:to>
      <xdr:col>19</xdr:col>
      <xdr:colOff>1047748</xdr:colOff>
      <xdr:row>7</xdr:row>
      <xdr:rowOff>330852</xdr:rowOff>
    </xdr:to>
    <xdr:sp macro="" textlink="">
      <xdr:nvSpPr>
        <xdr:cNvPr id="9" name="TextBoxArred">
          <a:extLst>
            <a:ext uri="{FF2B5EF4-FFF2-40B4-BE49-F238E27FC236}">
              <a16:creationId xmlns:a16="http://schemas.microsoft.com/office/drawing/2014/main" id="{00000000-0008-0000-0200-000009000000}"/>
            </a:ext>
          </a:extLst>
        </xdr:cNvPr>
        <xdr:cNvSpPr txBox="1">
          <a:spLocks noChangeArrowheads="1"/>
        </xdr:cNvSpPr>
      </xdr:nvSpPr>
      <xdr:spPr bwMode="auto">
        <a:xfrm flipH="1">
          <a:off x="9620249" y="1714498"/>
          <a:ext cx="4905374" cy="354667"/>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27432" bIns="0" anchor="t" upright="1"/>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428625</xdr:colOff>
          <xdr:row>7</xdr:row>
          <xdr:rowOff>114300</xdr:rowOff>
        </xdr:from>
        <xdr:to>
          <xdr:col>15</xdr:col>
          <xdr:colOff>847725</xdr:colOff>
          <xdr:row>7</xdr:row>
          <xdr:rowOff>342900</xdr:rowOff>
        </xdr:to>
        <xdr:sp macro="" textlink="">
          <xdr:nvSpPr>
            <xdr:cNvPr id="197642" name="CaixaArredQuant" hidden="1">
              <a:extLst>
                <a:ext uri="{63B3BB69-23CF-44E3-9099-C40C66FF867C}">
                  <a14:compatExt spid="_x0000_s197642"/>
                </a:ext>
                <a:ext uri="{FF2B5EF4-FFF2-40B4-BE49-F238E27FC236}">
                  <a16:creationId xmlns:a16="http://schemas.microsoft.com/office/drawing/2014/main" id="{00000000-0008-0000-0200-00000A0403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alpha val="50000"/>
                    </a:srgbClr>
                  </a:solidFill>
                </a14:hiddenFill>
              </a:ext>
              <a:ext uri="{91240B29-F687-4F45-9708-019B960494DF}">
                <a14:hiddenLine w="9525">
                  <a:solidFill>
                    <a:srgbClr val="A6CAF0"/>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114300</xdr:rowOff>
        </xdr:from>
        <xdr:to>
          <xdr:col>16</xdr:col>
          <xdr:colOff>838200</xdr:colOff>
          <xdr:row>7</xdr:row>
          <xdr:rowOff>342900</xdr:rowOff>
        </xdr:to>
        <xdr:sp macro="" textlink="">
          <xdr:nvSpPr>
            <xdr:cNvPr id="197650" name="CaixaArredCustoUnit" hidden="1">
              <a:extLst>
                <a:ext uri="{63B3BB69-23CF-44E3-9099-C40C66FF867C}">
                  <a14:compatExt spid="_x0000_s197650"/>
                </a:ext>
                <a:ext uri="{FF2B5EF4-FFF2-40B4-BE49-F238E27FC236}">
                  <a16:creationId xmlns:a16="http://schemas.microsoft.com/office/drawing/2014/main" id="{00000000-0008-0000-0200-0000120403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alpha val="50000"/>
                    </a:srgbClr>
                  </a:solidFill>
                </a14:hiddenFill>
              </a:ext>
              <a:ext uri="{91240B29-F687-4F45-9708-019B960494DF}">
                <a14:hiddenLine w="9525">
                  <a:solidFill>
                    <a:srgbClr val="A6CAF0"/>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7</xdr:row>
          <xdr:rowOff>114300</xdr:rowOff>
        </xdr:from>
        <xdr:to>
          <xdr:col>17</xdr:col>
          <xdr:colOff>676275</xdr:colOff>
          <xdr:row>7</xdr:row>
          <xdr:rowOff>342900</xdr:rowOff>
        </xdr:to>
        <xdr:sp macro="" textlink="">
          <xdr:nvSpPr>
            <xdr:cNvPr id="197651" name="CaixaArredBDI" hidden="1">
              <a:extLst>
                <a:ext uri="{63B3BB69-23CF-44E3-9099-C40C66FF867C}">
                  <a14:compatExt spid="_x0000_s197651"/>
                </a:ext>
                <a:ext uri="{FF2B5EF4-FFF2-40B4-BE49-F238E27FC236}">
                  <a16:creationId xmlns:a16="http://schemas.microsoft.com/office/drawing/2014/main" id="{00000000-0008-0000-0200-0000130403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alpha val="50000"/>
                    </a:srgbClr>
                  </a:solidFill>
                </a14:hiddenFill>
              </a:ext>
              <a:ext uri="{91240B29-F687-4F45-9708-019B960494DF}">
                <a14:hiddenLine w="9525">
                  <a:solidFill>
                    <a:srgbClr val="A6CAF0"/>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xdr:row>
          <xdr:rowOff>114300</xdr:rowOff>
        </xdr:from>
        <xdr:to>
          <xdr:col>18</xdr:col>
          <xdr:colOff>752475</xdr:colOff>
          <xdr:row>7</xdr:row>
          <xdr:rowOff>342900</xdr:rowOff>
        </xdr:to>
        <xdr:sp macro="" textlink="">
          <xdr:nvSpPr>
            <xdr:cNvPr id="197652" name="CaixaArredPrecoUnit" hidden="1">
              <a:extLst>
                <a:ext uri="{63B3BB69-23CF-44E3-9099-C40C66FF867C}">
                  <a14:compatExt spid="_x0000_s197652"/>
                </a:ext>
                <a:ext uri="{FF2B5EF4-FFF2-40B4-BE49-F238E27FC236}">
                  <a16:creationId xmlns:a16="http://schemas.microsoft.com/office/drawing/2014/main" id="{00000000-0008-0000-0200-0000140403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alpha val="50000"/>
                    </a:srgbClr>
                  </a:solidFill>
                </a14:hiddenFill>
              </a:ext>
              <a:ext uri="{91240B29-F687-4F45-9708-019B960494DF}">
                <a14:hiddenLine w="9525">
                  <a:solidFill>
                    <a:srgbClr val="A6CAF0"/>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7</xdr:row>
          <xdr:rowOff>104775</xdr:rowOff>
        </xdr:from>
        <xdr:to>
          <xdr:col>19</xdr:col>
          <xdr:colOff>838200</xdr:colOff>
          <xdr:row>7</xdr:row>
          <xdr:rowOff>333375</xdr:rowOff>
        </xdr:to>
        <xdr:sp macro="" textlink="">
          <xdr:nvSpPr>
            <xdr:cNvPr id="197660" name="CaixaArredPrecoTotal" hidden="1">
              <a:extLst>
                <a:ext uri="{63B3BB69-23CF-44E3-9099-C40C66FF867C}">
                  <a14:compatExt spid="_x0000_s197660"/>
                </a:ext>
                <a:ext uri="{FF2B5EF4-FFF2-40B4-BE49-F238E27FC236}">
                  <a16:creationId xmlns:a16="http://schemas.microsoft.com/office/drawing/2014/main" id="{00000000-0008-0000-0200-00001C0403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alpha val="50000"/>
                    </a:srgbClr>
                  </a:solidFill>
                </a14:hiddenFill>
              </a:ext>
              <a:ext uri="{91240B29-F687-4F45-9708-019B960494DF}">
                <a14:hiddenLine w="9525">
                  <a:solidFill>
                    <a:srgbClr val="A6CAF0"/>
                  </a:solidFill>
                  <a:miter lim="800000"/>
                  <a:headEnd/>
                  <a:tailEnd/>
                </a14:hiddenLine>
              </a:ext>
            </a:extLst>
          </xdr:spPr>
        </xdr:sp>
        <xdr:clientData fLocksWithSheet="0" fPrintsWithSheet="0"/>
      </xdr:twoCellAnchor>
    </mc:Choice>
    <mc:Fallback/>
  </mc:AlternateContent>
  <xdr:twoCellAnchor editAs="oneCell">
    <xdr:from>
      <xdr:col>10</xdr:col>
      <xdr:colOff>57150</xdr:colOff>
      <xdr:row>0</xdr:row>
      <xdr:rowOff>19050</xdr:rowOff>
    </xdr:from>
    <xdr:to>
      <xdr:col>11</xdr:col>
      <xdr:colOff>1009650</xdr:colOff>
      <xdr:row>2</xdr:row>
      <xdr:rowOff>76200</xdr:rowOff>
    </xdr:to>
    <xdr:pic>
      <xdr:nvPicPr>
        <xdr:cNvPr id="2" name="Picture 567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9050"/>
          <a:ext cx="1800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1104900</xdr:colOff>
      <xdr:row>1</xdr:row>
      <xdr:rowOff>190500</xdr:rowOff>
    </xdr:to>
    <xdr:sp macro="" textlink="">
      <xdr:nvSpPr>
        <xdr:cNvPr id="193696" name="Object 13472" hidden="1">
          <a:extLst>
            <a:ext uri="{63B3BB69-23CF-44E3-9099-C40C66FF867C}">
              <a14:compatExt xmlns:a14="http://schemas.microsoft.com/office/drawing/2010/main" spid="_x0000_s193696"/>
            </a:ext>
            <a:ext uri="{FF2B5EF4-FFF2-40B4-BE49-F238E27FC236}">
              <a16:creationId xmlns:a16="http://schemas.microsoft.com/office/drawing/2014/main" id="{00000000-0008-0000-0300-0000A0F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absolute">
        <xdr:from>
          <xdr:col>1</xdr:col>
          <xdr:colOff>0</xdr:colOff>
          <xdr:row>3</xdr:row>
          <xdr:rowOff>0</xdr:rowOff>
        </xdr:from>
        <xdr:to>
          <xdr:col>4</xdr:col>
          <xdr:colOff>809625</xdr:colOff>
          <xdr:row>5</xdr:row>
          <xdr:rowOff>123825</xdr:rowOff>
        </xdr:to>
        <xdr:pic>
          <xdr:nvPicPr>
            <xdr:cNvPr id="199394" name="PIC1">
              <a:extLst>
                <a:ext uri="{FF2B5EF4-FFF2-40B4-BE49-F238E27FC236}">
                  <a16:creationId xmlns:a16="http://schemas.microsoft.com/office/drawing/2014/main" id="{00000000-0008-0000-0300-0000E20A0300}"/>
                </a:ext>
              </a:extLst>
            </xdr:cNvPr>
            <xdr:cNvPicPr>
              <a:picLocks noChangeArrowheads="1"/>
              <a:extLst>
                <a:ext uri="{84589F7E-364E-4C9E-8A38-B11213B215E9}">
                  <a14:cameraTool cellRange="DADOS!$A$220:$X$230" spid="_x0000_s205200"/>
                </a:ext>
              </a:extLst>
            </xdr:cNvPicPr>
          </xdr:nvPicPr>
          <xdr:blipFill>
            <a:blip xmlns:r="http://schemas.openxmlformats.org/officeDocument/2006/relationships" r:embed="rId1"/>
            <a:srcRect r="56371"/>
            <a:stretch>
              <a:fillRect/>
            </a:stretch>
          </xdr:blipFill>
          <xdr:spPr bwMode="auto">
            <a:xfrm>
              <a:off x="847725" y="581025"/>
              <a:ext cx="6076950" cy="11334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xdr:row>
          <xdr:rowOff>0</xdr:rowOff>
        </xdr:from>
        <xdr:to>
          <xdr:col>14</xdr:col>
          <xdr:colOff>771525</xdr:colOff>
          <xdr:row>5</xdr:row>
          <xdr:rowOff>123825</xdr:rowOff>
        </xdr:to>
        <xdr:pic>
          <xdr:nvPicPr>
            <xdr:cNvPr id="199395" name="PIC2">
              <a:extLst>
                <a:ext uri="{FF2B5EF4-FFF2-40B4-BE49-F238E27FC236}">
                  <a16:creationId xmlns:a16="http://schemas.microsoft.com/office/drawing/2014/main" id="{00000000-0008-0000-0300-0000E30A0300}"/>
                </a:ext>
              </a:extLst>
            </xdr:cNvPr>
            <xdr:cNvPicPr>
              <a:picLocks noChangeArrowheads="1"/>
              <a:extLst>
                <a:ext uri="{84589F7E-364E-4C9E-8A38-B11213B215E9}">
                  <a14:cameraTool cellRange="DADOS!$A$220:$X$230" spid="_x0000_s205201"/>
                </a:ext>
              </a:extLst>
            </xdr:cNvPicPr>
          </xdr:nvPicPr>
          <xdr:blipFill>
            <a:blip xmlns:r="http://schemas.openxmlformats.org/officeDocument/2006/relationships" r:embed="rId1"/>
            <a:srcRect l="44028"/>
            <a:stretch>
              <a:fillRect/>
            </a:stretch>
          </xdr:blipFill>
          <xdr:spPr bwMode="auto">
            <a:xfrm>
              <a:off x="6962775" y="581025"/>
              <a:ext cx="7800975" cy="11334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a:extLst>
            <a:ext uri="{FF2B5EF4-FFF2-40B4-BE49-F238E27FC236}">
              <a16:creationId xmlns:a16="http://schemas.microsoft.com/office/drawing/2014/main" id="{00000000-0008-0000-0300-000005000000}"/>
            </a:ext>
          </a:extLst>
        </xdr:cNvPr>
        <xdr:cNvSpPr>
          <a:spLocks noChangeArrowheads="1"/>
        </xdr:cNvSpPr>
      </xdr:nvSpPr>
      <xdr:spPr bwMode="auto">
        <a:xfrm>
          <a:off x="5629275" y="2095500"/>
          <a:ext cx="1285875" cy="514350"/>
        </a:xfrm>
        <a:prstGeom prst="rightArrow">
          <a:avLst>
            <a:gd name="adj1" fmla="val 50000"/>
            <a:gd name="adj2" fmla="val 5720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twoCellAnchor editAs="oneCell">
    <xdr:from>
      <xdr:col>2</xdr:col>
      <xdr:colOff>676275</xdr:colOff>
      <xdr:row>8</xdr:row>
      <xdr:rowOff>104775</xdr:rowOff>
    </xdr:from>
    <xdr:to>
      <xdr:col>2</xdr:col>
      <xdr:colOff>1704975</xdr:colOff>
      <xdr:row>8</xdr:row>
      <xdr:rowOff>485775</xdr:rowOff>
    </xdr:to>
    <xdr:sp macro="[0]!IncluirPLQ" textlink="">
      <xdr:nvSpPr>
        <xdr:cNvPr id="6" name="AddPLQ">
          <a:extLst>
            <a:ext uri="{FF2B5EF4-FFF2-40B4-BE49-F238E27FC236}">
              <a16:creationId xmlns:a16="http://schemas.microsoft.com/office/drawing/2014/main" id="{00000000-0008-0000-0300-000006000000}"/>
            </a:ext>
          </a:extLst>
        </xdr:cNvPr>
        <xdr:cNvSpPr txBox="1">
          <a:spLocks noChangeArrowheads="1"/>
        </xdr:cNvSpPr>
      </xdr:nvSpPr>
      <xdr:spPr bwMode="auto">
        <a:xfrm>
          <a:off x="2238375" y="2076450"/>
          <a:ext cx="1028700" cy="381000"/>
        </a:xfrm>
        <a:prstGeom prst="rect">
          <a:avLst/>
        </a:prstGeom>
        <a:solidFill>
          <a:srgbClr val="99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10 FRENTES</a:t>
          </a:r>
        </a:p>
      </xdr:txBody>
    </xdr:sp>
    <xdr:clientData fPrintsWithSheet="0"/>
  </xdr:twoCellAnchor>
  <xdr:twoCellAnchor editAs="oneCell">
    <xdr:from>
      <xdr:col>2</xdr:col>
      <xdr:colOff>1971675</xdr:colOff>
      <xdr:row>8</xdr:row>
      <xdr:rowOff>104775</xdr:rowOff>
    </xdr:from>
    <xdr:to>
      <xdr:col>2</xdr:col>
      <xdr:colOff>3000375</xdr:colOff>
      <xdr:row>8</xdr:row>
      <xdr:rowOff>485775</xdr:rowOff>
    </xdr:to>
    <xdr:sp macro="[0]!ExcluirPLQ" textlink="">
      <xdr:nvSpPr>
        <xdr:cNvPr id="7" name="RemovePLQ">
          <a:extLst>
            <a:ext uri="{FF2B5EF4-FFF2-40B4-BE49-F238E27FC236}">
              <a16:creationId xmlns:a16="http://schemas.microsoft.com/office/drawing/2014/main" id="{00000000-0008-0000-0300-000007000000}"/>
            </a:ext>
          </a:extLst>
        </xdr:cNvPr>
        <xdr:cNvSpPr txBox="1">
          <a:spLocks noChangeArrowheads="1"/>
        </xdr:cNvSpPr>
      </xdr:nvSpPr>
      <xdr:spPr bwMode="auto">
        <a:xfrm>
          <a:off x="3533775" y="2076450"/>
          <a:ext cx="1028700" cy="381000"/>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FFFFFF"/>
              </a:solidFill>
              <a:latin typeface="Arial"/>
              <a:cs typeface="Arial"/>
            </a:rPr>
            <a:t>EXCLUIR 10 FRENTES</a:t>
          </a:r>
        </a:p>
      </xdr:txBody>
    </xdr:sp>
    <xdr:clientData fPrintsWithSheet="0"/>
  </xdr:twoCellAnchor>
  <mc:AlternateContent xmlns:mc="http://schemas.openxmlformats.org/markup-compatibility/2006">
    <mc:Choice xmlns:a14="http://schemas.microsoft.com/office/drawing/2010/main" Requires="a14">
      <xdr:twoCellAnchor>
        <xdr:from>
          <xdr:col>5</xdr:col>
          <xdr:colOff>704850</xdr:colOff>
          <xdr:row>135</xdr:row>
          <xdr:rowOff>9525</xdr:rowOff>
        </xdr:from>
        <xdr:to>
          <xdr:col>14</xdr:col>
          <xdr:colOff>28575</xdr:colOff>
          <xdr:row>139</xdr:row>
          <xdr:rowOff>152400</xdr:rowOff>
        </xdr:to>
        <xdr:pic>
          <xdr:nvPicPr>
            <xdr:cNvPr id="199399" name="Picture 483">
              <a:extLst>
                <a:ext uri="{FF2B5EF4-FFF2-40B4-BE49-F238E27FC236}">
                  <a16:creationId xmlns:a16="http://schemas.microsoft.com/office/drawing/2014/main" id="{00000000-0008-0000-0300-0000E70A0300}"/>
                </a:ext>
              </a:extLst>
            </xdr:cNvPr>
            <xdr:cNvPicPr>
              <a:picLocks noChangeArrowheads="1"/>
              <a:extLst>
                <a:ext uri="{84589F7E-364E-4C9E-8A38-B11213B215E9}">
                  <a14:cameraTool cellRange="DADOS!$A$53:$K$57" spid="_x0000_s205202"/>
                </a:ext>
              </a:extLst>
            </xdr:cNvPicPr>
          </xdr:nvPicPr>
          <xdr:blipFill>
            <a:blip xmlns:r="http://schemas.openxmlformats.org/officeDocument/2006/relationships" r:embed="rId2"/>
            <a:srcRect/>
            <a:stretch>
              <a:fillRect/>
            </a:stretch>
          </xdr:blipFill>
          <xdr:spPr bwMode="auto">
            <a:xfrm>
              <a:off x="7667625" y="6524625"/>
              <a:ext cx="6353175"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0</xdr:row>
          <xdr:rowOff>57150</xdr:rowOff>
        </xdr:from>
        <xdr:to>
          <xdr:col>14</xdr:col>
          <xdr:colOff>704850</xdr:colOff>
          <xdr:row>2</xdr:row>
          <xdr:rowOff>19050</xdr:rowOff>
        </xdr:to>
        <xdr:pic>
          <xdr:nvPicPr>
            <xdr:cNvPr id="199400" name="SigiloPic">
              <a:extLst>
                <a:ext uri="{FF2B5EF4-FFF2-40B4-BE49-F238E27FC236}">
                  <a16:creationId xmlns:a16="http://schemas.microsoft.com/office/drawing/2014/main" id="{00000000-0008-0000-0300-0000E80A0300}"/>
                </a:ext>
              </a:extLst>
            </xdr:cNvPr>
            <xdr:cNvPicPr>
              <a:picLocks noChangeArrowheads="1"/>
              <a:extLst>
                <a:ext uri="{84589F7E-364E-4C9E-8A38-B11213B215E9}">
                  <a14:cameraTool cellRange="PO!$T$1:$T$2" spid="_x0000_s205203"/>
                </a:ext>
              </a:extLst>
            </xdr:cNvPicPr>
          </xdr:nvPicPr>
          <xdr:blipFill>
            <a:blip xmlns:r="http://schemas.openxmlformats.org/officeDocument/2006/relationships" r:embed="rId3"/>
            <a:srcRect/>
            <a:stretch>
              <a:fillRect/>
            </a:stretch>
          </xdr:blipFill>
          <xdr:spPr bwMode="auto">
            <a:xfrm>
              <a:off x="13563600" y="57150"/>
              <a:ext cx="113347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1</xdr:col>
      <xdr:colOff>28575</xdr:colOff>
      <xdr:row>0</xdr:row>
      <xdr:rowOff>28575</xdr:rowOff>
    </xdr:from>
    <xdr:to>
      <xdr:col>2</xdr:col>
      <xdr:colOff>1104900</xdr:colOff>
      <xdr:row>1</xdr:row>
      <xdr:rowOff>190500</xdr:rowOff>
    </xdr:to>
    <xdr:pic>
      <xdr:nvPicPr>
        <xdr:cNvPr id="2" name="Picture 1347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28575"/>
          <a:ext cx="17907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12</xdr:col>
      <xdr:colOff>1133475</xdr:colOff>
      <xdr:row>2</xdr:row>
      <xdr:rowOff>95250</xdr:rowOff>
    </xdr:to>
    <xdr:sp macro="" textlink="">
      <xdr:nvSpPr>
        <xdr:cNvPr id="193474" name="Object 125890" hidden="1">
          <a:extLst>
            <a:ext uri="{63B3BB69-23CF-44E3-9099-C40C66FF867C}">
              <a14:compatExt xmlns:a14="http://schemas.microsoft.com/office/drawing/2010/main" spid="_x0000_s193474"/>
            </a:ext>
            <a:ext uri="{FF2B5EF4-FFF2-40B4-BE49-F238E27FC236}">
              <a16:creationId xmlns:a16="http://schemas.microsoft.com/office/drawing/2014/main" id="{00000000-0008-0000-0400-0000C2F3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628650</xdr:colOff>
      <xdr:row>7</xdr:row>
      <xdr:rowOff>209550</xdr:rowOff>
    </xdr:from>
    <xdr:to>
      <xdr:col>12</xdr:col>
      <xdr:colOff>1695450</xdr:colOff>
      <xdr:row>9</xdr:row>
      <xdr:rowOff>0</xdr:rowOff>
    </xdr:to>
    <xdr:sp macro="[0]!EditarCRONO" textlink="">
      <xdr:nvSpPr>
        <xdr:cNvPr id="7" name="AddCFF">
          <a:extLst>
            <a:ext uri="{FF2B5EF4-FFF2-40B4-BE49-F238E27FC236}">
              <a16:creationId xmlns:a16="http://schemas.microsoft.com/office/drawing/2014/main" id="{00000000-0008-0000-0400-000007000000}"/>
            </a:ext>
          </a:extLst>
        </xdr:cNvPr>
        <xdr:cNvSpPr txBox="1">
          <a:spLocks noChangeArrowheads="1"/>
        </xdr:cNvSpPr>
      </xdr:nvSpPr>
      <xdr:spPr bwMode="auto">
        <a:xfrm>
          <a:off x="628650" y="1914525"/>
          <a:ext cx="1781175" cy="342900"/>
        </a:xfrm>
        <a:prstGeom prst="rect">
          <a:avLst/>
        </a:prstGeom>
        <a:solidFill>
          <a:srgbClr val="99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twoCellAnchor>
  <mc:AlternateContent xmlns:mc="http://schemas.openxmlformats.org/markup-compatibility/2006">
    <mc:Choice xmlns:a14="http://schemas.microsoft.com/office/drawing/2010/main" Requires="a14">
      <xdr:twoCellAnchor editAs="absolute">
        <xdr:from>
          <xdr:col>15</xdr:col>
          <xdr:colOff>0</xdr:colOff>
          <xdr:row>3</xdr:row>
          <xdr:rowOff>0</xdr:rowOff>
        </xdr:from>
        <xdr:to>
          <xdr:col>23</xdr:col>
          <xdr:colOff>0</xdr:colOff>
          <xdr:row>6</xdr:row>
          <xdr:rowOff>219075</xdr:rowOff>
        </xdr:to>
        <xdr:pic>
          <xdr:nvPicPr>
            <xdr:cNvPr id="200672" name="PIC2">
              <a:extLst>
                <a:ext uri="{FF2B5EF4-FFF2-40B4-BE49-F238E27FC236}">
                  <a16:creationId xmlns:a16="http://schemas.microsoft.com/office/drawing/2014/main" id="{00000000-0008-0000-0400-0000E00F0300}"/>
                </a:ext>
              </a:extLst>
            </xdr:cNvPr>
            <xdr:cNvPicPr>
              <a:picLocks noChangeArrowheads="1"/>
              <a:extLst>
                <a:ext uri="{84589F7E-364E-4C9E-8A38-B11213B215E9}">
                  <a14:cameraTool cellRange="DADOS!$A$220:$X$230" spid="_x0000_s211245"/>
                </a:ext>
              </a:extLst>
            </xdr:cNvPicPr>
          </xdr:nvPicPr>
          <xdr:blipFill>
            <a:blip xmlns:r="http://schemas.openxmlformats.org/officeDocument/2006/relationships" r:embed="rId1"/>
            <a:srcRect l="39473"/>
            <a:stretch>
              <a:fillRect/>
            </a:stretch>
          </xdr:blipFill>
          <xdr:spPr bwMode="auto">
            <a:xfrm>
              <a:off x="5619750" y="485775"/>
              <a:ext cx="8382000"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xdr:row>
          <xdr:rowOff>0</xdr:rowOff>
        </xdr:from>
        <xdr:to>
          <xdr:col>14</xdr:col>
          <xdr:colOff>1076325</xdr:colOff>
          <xdr:row>6</xdr:row>
          <xdr:rowOff>219075</xdr:rowOff>
        </xdr:to>
        <xdr:pic>
          <xdr:nvPicPr>
            <xdr:cNvPr id="200673" name="PIC1">
              <a:extLst>
                <a:ext uri="{FF2B5EF4-FFF2-40B4-BE49-F238E27FC236}">
                  <a16:creationId xmlns:a16="http://schemas.microsoft.com/office/drawing/2014/main" id="{00000000-0008-0000-0400-0000E10F0300}"/>
                </a:ext>
              </a:extLst>
            </xdr:cNvPr>
            <xdr:cNvPicPr>
              <a:picLocks noChangeArrowheads="1"/>
              <a:extLst>
                <a:ext uri="{84589F7E-364E-4C9E-8A38-B11213B215E9}">
                  <a14:cameraTool cellRange="DADOS!$A$220:$X$230" spid="_x0000_s211246"/>
                </a:ext>
              </a:extLst>
            </xdr:cNvPicPr>
          </xdr:nvPicPr>
          <xdr:blipFill>
            <a:blip xmlns:r="http://schemas.openxmlformats.org/officeDocument/2006/relationships" r:embed="rId1"/>
            <a:srcRect r="60628"/>
            <a:stretch>
              <a:fillRect/>
            </a:stretch>
          </xdr:blipFill>
          <xdr:spPr bwMode="auto">
            <a:xfrm>
              <a:off x="152400" y="485775"/>
              <a:ext cx="5438775" cy="1162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971550</xdr:colOff>
          <xdr:row>67</xdr:row>
          <xdr:rowOff>0</xdr:rowOff>
        </xdr:from>
        <xdr:to>
          <xdr:col>22</xdr:col>
          <xdr:colOff>28575</xdr:colOff>
          <xdr:row>71</xdr:row>
          <xdr:rowOff>142875</xdr:rowOff>
        </xdr:to>
        <xdr:pic>
          <xdr:nvPicPr>
            <xdr:cNvPr id="200674" name="Picture 483">
              <a:extLst>
                <a:ext uri="{FF2B5EF4-FFF2-40B4-BE49-F238E27FC236}">
                  <a16:creationId xmlns:a16="http://schemas.microsoft.com/office/drawing/2014/main" id="{00000000-0008-0000-0400-0000E20F0300}"/>
                </a:ext>
              </a:extLst>
            </xdr:cNvPr>
            <xdr:cNvPicPr>
              <a:picLocks noChangeArrowheads="1"/>
              <a:extLst>
                <a:ext uri="{84589F7E-364E-4C9E-8A38-B11213B215E9}">
                  <a14:cameraTool cellRange="DADOS!$A$53:$K$57" spid="_x0000_s211247"/>
                </a:ext>
              </a:extLst>
            </xdr:cNvPicPr>
          </xdr:nvPicPr>
          <xdr:blipFill>
            <a:blip xmlns:r="http://schemas.openxmlformats.org/officeDocument/2006/relationships" r:embed="rId2"/>
            <a:srcRect/>
            <a:stretch>
              <a:fillRect/>
            </a:stretch>
          </xdr:blipFill>
          <xdr:spPr bwMode="auto">
            <a:xfrm>
              <a:off x="6591300" y="4143375"/>
              <a:ext cx="6391275"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914400</xdr:colOff>
          <xdr:row>0</xdr:row>
          <xdr:rowOff>66675</xdr:rowOff>
        </xdr:from>
        <xdr:to>
          <xdr:col>22</xdr:col>
          <xdr:colOff>1000125</xdr:colOff>
          <xdr:row>2</xdr:row>
          <xdr:rowOff>123825</xdr:rowOff>
        </xdr:to>
        <xdr:pic>
          <xdr:nvPicPr>
            <xdr:cNvPr id="200675" name="SigiloPic">
              <a:extLst>
                <a:ext uri="{FF2B5EF4-FFF2-40B4-BE49-F238E27FC236}">
                  <a16:creationId xmlns:a16="http://schemas.microsoft.com/office/drawing/2014/main" id="{00000000-0008-0000-0400-0000E30F0300}"/>
                </a:ext>
              </a:extLst>
            </xdr:cNvPr>
            <xdr:cNvPicPr>
              <a:picLocks noChangeArrowheads="1"/>
              <a:extLst>
                <a:ext uri="{84589F7E-364E-4C9E-8A38-B11213B215E9}">
                  <a14:cameraTool cellRange="PO!$T$1:$T$2" spid="_x0000_s211248"/>
                </a:ext>
              </a:extLst>
            </xdr:cNvPicPr>
          </xdr:nvPicPr>
          <xdr:blipFill>
            <a:blip xmlns:r="http://schemas.openxmlformats.org/officeDocument/2006/relationships" r:embed="rId3"/>
            <a:srcRect/>
            <a:stretch>
              <a:fillRect/>
            </a:stretch>
          </xdr:blipFill>
          <xdr:spPr bwMode="auto">
            <a:xfrm>
              <a:off x="12820650" y="66675"/>
              <a:ext cx="113347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67</xdr:row>
          <xdr:rowOff>0</xdr:rowOff>
        </xdr:from>
        <xdr:to>
          <xdr:col>23</xdr:col>
          <xdr:colOff>0</xdr:colOff>
          <xdr:row>71</xdr:row>
          <xdr:rowOff>142875</xdr:rowOff>
        </xdr:to>
        <xdr:pic>
          <xdr:nvPicPr>
            <xdr:cNvPr id="200676" name="Picture 483">
              <a:extLst>
                <a:ext uri="{FF2B5EF4-FFF2-40B4-BE49-F238E27FC236}">
                  <a16:creationId xmlns:a16="http://schemas.microsoft.com/office/drawing/2014/main" id="{00000000-0008-0000-0400-0000E40F0300}"/>
                </a:ext>
              </a:extLst>
            </xdr:cNvPr>
            <xdr:cNvPicPr>
              <a:picLocks noChangeArrowheads="1"/>
              <a:extLst>
                <a:ext uri="{84589F7E-364E-4C9E-8A38-B11213B215E9}">
                  <a14:cameraTool cellRange="DADOS!$A$53:$K$57" spid="_x0000_s211249"/>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77" name="SigiloPic">
              <a:extLst>
                <a:ext uri="{FF2B5EF4-FFF2-40B4-BE49-F238E27FC236}">
                  <a16:creationId xmlns:a16="http://schemas.microsoft.com/office/drawing/2014/main" id="{00000000-0008-0000-0400-0000E50F0300}"/>
                </a:ext>
              </a:extLst>
            </xdr:cNvPr>
            <xdr:cNvPicPr>
              <a:picLocks noChangeArrowheads="1"/>
              <a:extLst>
                <a:ext uri="{84589F7E-364E-4C9E-8A38-B11213B215E9}">
                  <a14:cameraTool cellRange="PO!$T$1:$T$2" spid="_x0000_s211250"/>
                </a:ext>
              </a:extLst>
            </xdr:cNvPicPr>
          </xdr:nvPicPr>
          <xdr:blipFill>
            <a:blip xmlns:r="http://schemas.openxmlformats.org/officeDocument/2006/relationships" r:embed="rId3"/>
            <a:srcRect/>
            <a:stretch>
              <a:fillRect/>
            </a:stretch>
          </xdr:blipFill>
          <xdr:spPr bwMode="auto">
            <a:xfrm>
              <a:off x="14001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67</xdr:row>
          <xdr:rowOff>0</xdr:rowOff>
        </xdr:from>
        <xdr:to>
          <xdr:col>23</xdr:col>
          <xdr:colOff>0</xdr:colOff>
          <xdr:row>71</xdr:row>
          <xdr:rowOff>142875</xdr:rowOff>
        </xdr:to>
        <xdr:pic>
          <xdr:nvPicPr>
            <xdr:cNvPr id="200678" name="Picture 483">
              <a:extLst>
                <a:ext uri="{FF2B5EF4-FFF2-40B4-BE49-F238E27FC236}">
                  <a16:creationId xmlns:a16="http://schemas.microsoft.com/office/drawing/2014/main" id="{00000000-0008-0000-0400-0000E60F0300}"/>
                </a:ext>
              </a:extLst>
            </xdr:cNvPr>
            <xdr:cNvPicPr>
              <a:picLocks noChangeArrowheads="1"/>
              <a:extLst>
                <a:ext uri="{84589F7E-364E-4C9E-8A38-B11213B215E9}">
                  <a14:cameraTool cellRange="DADOS!$A$53:$K$57" spid="_x0000_s211251"/>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79" name="SigiloPic">
              <a:extLst>
                <a:ext uri="{FF2B5EF4-FFF2-40B4-BE49-F238E27FC236}">
                  <a16:creationId xmlns:a16="http://schemas.microsoft.com/office/drawing/2014/main" id="{00000000-0008-0000-0400-0000E70F0300}"/>
                </a:ext>
              </a:extLst>
            </xdr:cNvPr>
            <xdr:cNvPicPr>
              <a:picLocks noChangeArrowheads="1"/>
              <a:extLst>
                <a:ext uri="{84589F7E-364E-4C9E-8A38-B11213B215E9}">
                  <a14:cameraTool cellRange="PO!$T$1:$T$2" spid="_x0000_s211252"/>
                </a:ext>
              </a:extLst>
            </xdr:cNvPicPr>
          </xdr:nvPicPr>
          <xdr:blipFill>
            <a:blip xmlns:r="http://schemas.openxmlformats.org/officeDocument/2006/relationships" r:embed="rId3"/>
            <a:srcRect/>
            <a:stretch>
              <a:fillRect/>
            </a:stretch>
          </xdr:blipFill>
          <xdr:spPr bwMode="auto">
            <a:xfrm>
              <a:off x="14001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67</xdr:row>
          <xdr:rowOff>0</xdr:rowOff>
        </xdr:from>
        <xdr:to>
          <xdr:col>23</xdr:col>
          <xdr:colOff>0</xdr:colOff>
          <xdr:row>71</xdr:row>
          <xdr:rowOff>142875</xdr:rowOff>
        </xdr:to>
        <xdr:pic>
          <xdr:nvPicPr>
            <xdr:cNvPr id="200680" name="Picture 483">
              <a:extLst>
                <a:ext uri="{FF2B5EF4-FFF2-40B4-BE49-F238E27FC236}">
                  <a16:creationId xmlns:a16="http://schemas.microsoft.com/office/drawing/2014/main" id="{00000000-0008-0000-0400-0000E80F0300}"/>
                </a:ext>
              </a:extLst>
            </xdr:cNvPr>
            <xdr:cNvPicPr>
              <a:picLocks noChangeArrowheads="1"/>
              <a:extLst>
                <a:ext uri="{84589F7E-364E-4C9E-8A38-B11213B215E9}">
                  <a14:cameraTool cellRange="DADOS!$A$53:$K$57" spid="_x0000_s211253"/>
                </a:ext>
              </a:extLst>
            </xdr:cNvPicPr>
          </xdr:nvPicPr>
          <xdr:blipFill>
            <a:blip xmlns:r="http://schemas.openxmlformats.org/officeDocument/2006/relationships" r:embed="rId2"/>
            <a:srcRect/>
            <a:stretch>
              <a:fillRect/>
            </a:stretch>
          </xdr:blipFill>
          <xdr:spPr bwMode="auto">
            <a:xfrm>
              <a:off x="14001750" y="4143375"/>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1" name="SigiloPic">
              <a:extLst>
                <a:ext uri="{FF2B5EF4-FFF2-40B4-BE49-F238E27FC236}">
                  <a16:creationId xmlns:a16="http://schemas.microsoft.com/office/drawing/2014/main" id="{00000000-0008-0000-0400-0000E90F0300}"/>
                </a:ext>
              </a:extLst>
            </xdr:cNvPr>
            <xdr:cNvPicPr>
              <a:picLocks noChangeArrowheads="1"/>
              <a:extLst>
                <a:ext uri="{84589F7E-364E-4C9E-8A38-B11213B215E9}">
                  <a14:cameraTool cellRange="PO!$T$1:$T$2" spid="_x0000_s211254"/>
                </a:ext>
              </a:extLst>
            </xdr:cNvPicPr>
          </xdr:nvPicPr>
          <xdr:blipFill>
            <a:blip xmlns:r="http://schemas.openxmlformats.org/officeDocument/2006/relationships" r:embed="rId3"/>
            <a:srcRect/>
            <a:stretch>
              <a:fillRect/>
            </a:stretch>
          </xdr:blipFill>
          <xdr:spPr bwMode="auto">
            <a:xfrm>
              <a:off x="14001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67</xdr:row>
          <xdr:rowOff>0</xdr:rowOff>
        </xdr:from>
        <xdr:to>
          <xdr:col>23</xdr:col>
          <xdr:colOff>0</xdr:colOff>
          <xdr:row>71</xdr:row>
          <xdr:rowOff>142875</xdr:rowOff>
        </xdr:to>
        <xdr:pic>
          <xdr:nvPicPr>
            <xdr:cNvPr id="200682" name="Picture 483">
              <a:extLst>
                <a:ext uri="{FF2B5EF4-FFF2-40B4-BE49-F238E27FC236}">
                  <a16:creationId xmlns:a16="http://schemas.microsoft.com/office/drawing/2014/main" id="{00000000-0008-0000-0400-0000EA0F0300}"/>
                </a:ext>
              </a:extLst>
            </xdr:cNvPr>
            <xdr:cNvPicPr>
              <a:picLocks noChangeArrowheads="1"/>
              <a:extLst>
                <a:ext uri="{84589F7E-364E-4C9E-8A38-B11213B215E9}">
                  <a14:cameraTool cellRange="DADOS!$A$53:$K$57" spid="_x0000_s211255"/>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3" name="SigiloPic">
              <a:extLst>
                <a:ext uri="{FF2B5EF4-FFF2-40B4-BE49-F238E27FC236}">
                  <a16:creationId xmlns:a16="http://schemas.microsoft.com/office/drawing/2014/main" id="{00000000-0008-0000-0400-0000EB0F0300}"/>
                </a:ext>
              </a:extLst>
            </xdr:cNvPr>
            <xdr:cNvPicPr>
              <a:picLocks noChangeArrowheads="1"/>
              <a:extLst>
                <a:ext uri="{84589F7E-364E-4C9E-8A38-B11213B215E9}">
                  <a14:cameraTool cellRange="PO!$T$1:$T$2" spid="_x0000_s211256"/>
                </a:ext>
              </a:extLst>
            </xdr:cNvPicPr>
          </xdr:nvPicPr>
          <xdr:blipFill>
            <a:blip xmlns:r="http://schemas.openxmlformats.org/officeDocument/2006/relationships" r:embed="rId3"/>
            <a:srcRect/>
            <a:stretch>
              <a:fillRect/>
            </a:stretch>
          </xdr:blipFill>
          <xdr:spPr bwMode="auto">
            <a:xfrm>
              <a:off x="14001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67</xdr:row>
          <xdr:rowOff>0</xdr:rowOff>
        </xdr:from>
        <xdr:to>
          <xdr:col>23</xdr:col>
          <xdr:colOff>0</xdr:colOff>
          <xdr:row>71</xdr:row>
          <xdr:rowOff>142875</xdr:rowOff>
        </xdr:to>
        <xdr:pic>
          <xdr:nvPicPr>
            <xdr:cNvPr id="200684" name="Picture 483">
              <a:extLst>
                <a:ext uri="{FF2B5EF4-FFF2-40B4-BE49-F238E27FC236}">
                  <a16:creationId xmlns:a16="http://schemas.microsoft.com/office/drawing/2014/main" id="{00000000-0008-0000-0400-0000EC0F0300}"/>
                </a:ext>
              </a:extLst>
            </xdr:cNvPr>
            <xdr:cNvPicPr>
              <a:picLocks noChangeArrowheads="1"/>
              <a:extLst>
                <a:ext uri="{84589F7E-364E-4C9E-8A38-B11213B215E9}">
                  <a14:cameraTool cellRange="DADOS!$A$53:$K$57" spid="_x0000_s211257"/>
                </a:ext>
              </a:extLst>
            </xdr:cNvPicPr>
          </xdr:nvPicPr>
          <xdr:blipFill>
            <a:blip xmlns:r="http://schemas.openxmlformats.org/officeDocument/2006/relationships" r:embed="rId2"/>
            <a:srcRect/>
            <a:stretch>
              <a:fillRect/>
            </a:stretch>
          </xdr:blipFill>
          <xdr:spPr bwMode="auto">
            <a:xfrm>
              <a:off x="14001750" y="4143375"/>
              <a:ext cx="0" cy="790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00685" name="SigiloPic">
              <a:extLst>
                <a:ext uri="{FF2B5EF4-FFF2-40B4-BE49-F238E27FC236}">
                  <a16:creationId xmlns:a16="http://schemas.microsoft.com/office/drawing/2014/main" id="{00000000-0008-0000-0400-0000ED0F0300}"/>
                </a:ext>
              </a:extLst>
            </xdr:cNvPr>
            <xdr:cNvPicPr>
              <a:picLocks noChangeArrowheads="1"/>
              <a:extLst>
                <a:ext uri="{84589F7E-364E-4C9E-8A38-B11213B215E9}">
                  <a14:cameraTool cellRange="PO!$T$1:$T$2" spid="_x0000_s211258"/>
                </a:ext>
              </a:extLst>
            </xdr:cNvPicPr>
          </xdr:nvPicPr>
          <xdr:blipFill>
            <a:blip xmlns:r="http://schemas.openxmlformats.org/officeDocument/2006/relationships" r:embed="rId3"/>
            <a:srcRect/>
            <a:stretch>
              <a:fillRect/>
            </a:stretch>
          </xdr:blipFill>
          <xdr:spPr bwMode="auto">
            <a:xfrm>
              <a:off x="14001750" y="66675"/>
              <a:ext cx="0"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11</xdr:col>
      <xdr:colOff>57150</xdr:colOff>
      <xdr:row>0</xdr:row>
      <xdr:rowOff>38100</xdr:rowOff>
    </xdr:from>
    <xdr:to>
      <xdr:col>12</xdr:col>
      <xdr:colOff>1133475</xdr:colOff>
      <xdr:row>2</xdr:row>
      <xdr:rowOff>95250</xdr:rowOff>
    </xdr:to>
    <xdr:pic>
      <xdr:nvPicPr>
        <xdr:cNvPr id="2" name="Picture 12589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38100"/>
          <a:ext cx="17907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57"/>
  <sheetViews>
    <sheetView showGridLines="0" zoomScaleNormal="100" zoomScaleSheetLayoutView="100" workbookViewId="0">
      <selection activeCell="B58" sqref="B58"/>
    </sheetView>
  </sheetViews>
  <sheetFormatPr defaultRowHeight="12.75" x14ac:dyDescent="0.2"/>
  <cols>
    <col min="1" max="2" width="8.7109375" style="8" customWidth="1"/>
    <col min="3" max="5" width="8.7109375" style="1" customWidth="1"/>
    <col min="6" max="8" width="8.7109375" style="7" customWidth="1"/>
    <col min="9" max="24" width="8.7109375" style="1" customWidth="1"/>
    <col min="25" max="16384" width="9.140625" style="1"/>
  </cols>
  <sheetData>
    <row r="1" spans="1:25" ht="12.75" customHeight="1" x14ac:dyDescent="0.2">
      <c r="A1" s="103">
        <v>27476</v>
      </c>
      <c r="B1" s="258" t="s">
        <v>2</v>
      </c>
      <c r="C1" s="258"/>
      <c r="D1" s="258"/>
      <c r="E1" s="258"/>
      <c r="F1" s="258"/>
      <c r="G1" s="258"/>
      <c r="H1" s="258"/>
      <c r="I1" s="258"/>
      <c r="J1" s="258"/>
      <c r="K1" s="258"/>
      <c r="L1" s="258"/>
      <c r="M1" s="258"/>
      <c r="N1" s="258"/>
      <c r="O1" s="258"/>
      <c r="P1" s="258"/>
      <c r="Q1" s="258"/>
      <c r="R1" s="258"/>
      <c r="S1" s="258"/>
      <c r="T1" s="258"/>
      <c r="U1" s="258"/>
      <c r="V1" s="258"/>
      <c r="W1" s="258"/>
      <c r="X1" s="259"/>
    </row>
    <row r="2" spans="1:25" ht="13.5" customHeight="1" x14ac:dyDescent="0.2">
      <c r="A2" s="105" t="s">
        <v>228</v>
      </c>
      <c r="B2" s="260"/>
      <c r="C2" s="260"/>
      <c r="D2" s="260"/>
      <c r="E2" s="260"/>
      <c r="F2" s="260"/>
      <c r="G2" s="260"/>
      <c r="H2" s="260"/>
      <c r="I2" s="260"/>
      <c r="J2" s="260"/>
      <c r="K2" s="260"/>
      <c r="L2" s="260"/>
      <c r="M2" s="260"/>
      <c r="N2" s="260"/>
      <c r="O2" s="260"/>
      <c r="P2" s="260"/>
      <c r="Q2" s="260"/>
      <c r="R2" s="260"/>
      <c r="S2" s="260"/>
      <c r="T2" s="260"/>
      <c r="U2" s="260"/>
      <c r="V2" s="260"/>
      <c r="W2" s="260"/>
      <c r="X2" s="261"/>
    </row>
    <row r="3" spans="1:25" ht="13.5" customHeight="1" x14ac:dyDescent="0.2">
      <c r="A3" s="1"/>
      <c r="B3" s="1"/>
      <c r="F3" s="1"/>
      <c r="G3" s="1"/>
      <c r="H3" s="1"/>
    </row>
    <row r="4" spans="1:25" s="21" customFormat="1" ht="12.75" customHeight="1" x14ac:dyDescent="0.2">
      <c r="A4" s="270" t="s">
        <v>168</v>
      </c>
      <c r="B4" s="270"/>
      <c r="C4" s="270"/>
      <c r="D4" s="270"/>
      <c r="E4" s="270"/>
      <c r="F4" s="270"/>
      <c r="G4" s="270"/>
      <c r="H4" s="270"/>
      <c r="I4" s="270"/>
      <c r="J4" s="270"/>
      <c r="K4" s="270"/>
      <c r="L4" s="270"/>
      <c r="M4" s="270"/>
      <c r="N4" s="270"/>
      <c r="O4" s="270"/>
      <c r="P4" s="270"/>
      <c r="Q4" s="270"/>
      <c r="R4" s="270"/>
      <c r="S4" s="270"/>
      <c r="T4" s="270"/>
      <c r="U4" s="270"/>
      <c r="V4" s="270"/>
      <c r="W4" s="270"/>
      <c r="X4" s="270"/>
    </row>
    <row r="5" spans="1:25" s="21" customFormat="1" x14ac:dyDescent="0.2">
      <c r="A5" s="22"/>
      <c r="B5" s="22"/>
      <c r="F5" s="23"/>
      <c r="G5" s="23"/>
      <c r="H5" s="23"/>
    </row>
    <row r="6" spans="1:25" s="22" customFormat="1" ht="24.95" customHeight="1" x14ac:dyDescent="0.2">
      <c r="A6" s="271" t="s">
        <v>179</v>
      </c>
      <c r="B6" s="272"/>
      <c r="C6" s="272"/>
      <c r="D6" s="272"/>
      <c r="E6" s="272"/>
      <c r="F6" s="272"/>
      <c r="G6" s="272"/>
      <c r="H6" s="272"/>
      <c r="I6" s="272"/>
      <c r="J6" s="272"/>
      <c r="K6" s="272"/>
      <c r="L6" s="272"/>
      <c r="M6" s="272"/>
      <c r="N6" s="272"/>
      <c r="O6" s="272"/>
      <c r="P6" s="272"/>
      <c r="Q6" s="272"/>
      <c r="R6" s="272"/>
      <c r="S6" s="272"/>
      <c r="T6" s="272"/>
      <c r="U6" s="272"/>
      <c r="V6" s="272"/>
      <c r="W6" s="272"/>
      <c r="X6" s="272"/>
    </row>
    <row r="7" spans="1:25" s="21" customFormat="1" ht="12.75" customHeight="1" x14ac:dyDescent="0.2">
      <c r="A7" s="22"/>
      <c r="B7" s="22"/>
      <c r="F7" s="23"/>
      <c r="G7" s="23"/>
      <c r="H7" s="23"/>
    </row>
    <row r="8" spans="1:25" s="21" customFormat="1" ht="12.75" customHeight="1" x14ac:dyDescent="0.2">
      <c r="A8" s="273" t="s">
        <v>23</v>
      </c>
      <c r="B8" s="273"/>
      <c r="C8" s="273"/>
      <c r="D8" s="273"/>
      <c r="E8" s="273"/>
      <c r="F8" s="273"/>
      <c r="G8" s="273"/>
      <c r="H8" s="273"/>
      <c r="I8" s="273"/>
      <c r="J8" s="273"/>
      <c r="K8" s="273"/>
      <c r="L8" s="273"/>
      <c r="M8" s="273"/>
      <c r="N8" s="273"/>
      <c r="O8" s="273"/>
      <c r="P8" s="273"/>
      <c r="Q8" s="273"/>
      <c r="R8" s="273"/>
      <c r="S8" s="273"/>
      <c r="T8" s="273"/>
      <c r="U8" s="273"/>
      <c r="V8" s="273"/>
      <c r="W8" s="273"/>
      <c r="X8" s="273"/>
      <c r="Y8" s="24"/>
    </row>
    <row r="9" spans="1:25" s="21" customFormat="1" ht="6" customHeight="1" x14ac:dyDescent="0.2">
      <c r="A9" s="48"/>
      <c r="B9" s="48"/>
      <c r="C9" s="48"/>
      <c r="D9" s="48"/>
      <c r="E9" s="48"/>
      <c r="F9" s="48"/>
      <c r="G9" s="48"/>
      <c r="H9" s="48"/>
      <c r="I9" s="48"/>
      <c r="J9" s="48"/>
      <c r="K9" s="48"/>
      <c r="L9" s="48"/>
      <c r="M9" s="48"/>
      <c r="N9" s="48"/>
      <c r="O9" s="48"/>
      <c r="P9" s="48"/>
      <c r="Q9" s="48"/>
      <c r="R9" s="48"/>
      <c r="S9" s="48"/>
      <c r="T9" s="48"/>
      <c r="U9" s="48"/>
      <c r="V9" s="48"/>
      <c r="W9" s="48"/>
      <c r="X9" s="48"/>
      <c r="Y9" s="24"/>
    </row>
    <row r="10" spans="1:25" s="21" customFormat="1" ht="12.75" customHeight="1" x14ac:dyDescent="0.2">
      <c r="A10" s="275" t="s">
        <v>169</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row>
    <row r="11" spans="1:25" s="21" customFormat="1" ht="6" customHeight="1" x14ac:dyDescent="0.2">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5" s="21" customFormat="1" ht="24.95" customHeight="1" x14ac:dyDescent="0.2">
      <c r="A12" s="275" t="s">
        <v>1</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row>
    <row r="13" spans="1:25" s="21" customFormat="1" x14ac:dyDescent="0.2">
      <c r="A13" s="22"/>
      <c r="B13" s="22"/>
      <c r="F13" s="23"/>
      <c r="G13" s="23"/>
      <c r="H13" s="23"/>
    </row>
    <row r="14" spans="1:25" s="21" customFormat="1" x14ac:dyDescent="0.2">
      <c r="A14" s="274" t="s">
        <v>24</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row>
    <row r="15" spans="1:25" s="21" customFormat="1" x14ac:dyDescent="0.2">
      <c r="A15" s="22"/>
      <c r="B15" s="22"/>
      <c r="F15" s="23"/>
      <c r="G15" s="23"/>
      <c r="H15" s="23"/>
    </row>
    <row r="16" spans="1:25" s="21" customFormat="1" x14ac:dyDescent="0.2">
      <c r="A16" s="242" t="s">
        <v>186</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1:25" s="21" customFormat="1" ht="6"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5" s="21" customFormat="1" x14ac:dyDescent="0.2">
      <c r="A18" s="244" t="s">
        <v>187</v>
      </c>
      <c r="B18" s="244"/>
      <c r="C18" s="245"/>
      <c r="D18" s="245"/>
      <c r="E18" s="245"/>
      <c r="F18" s="245"/>
      <c r="G18" s="245"/>
      <c r="H18" s="245"/>
      <c r="I18" s="245"/>
      <c r="J18" s="245"/>
      <c r="K18" s="245"/>
      <c r="L18" s="245"/>
      <c r="M18" s="245"/>
      <c r="N18" s="245"/>
      <c r="O18" s="245"/>
      <c r="P18" s="245"/>
      <c r="Q18" s="245"/>
      <c r="R18" s="245"/>
      <c r="S18" s="245"/>
      <c r="T18" s="245"/>
      <c r="U18" s="245"/>
      <c r="V18" s="245"/>
      <c r="W18" s="245"/>
      <c r="X18" s="245"/>
    </row>
    <row r="19" spans="1:25" s="21" customFormat="1" x14ac:dyDescent="0.2">
      <c r="A19" s="22"/>
      <c r="B19" s="22"/>
      <c r="F19" s="23"/>
      <c r="G19" s="23"/>
      <c r="H19" s="23"/>
    </row>
    <row r="20" spans="1:25" s="21" customFormat="1" x14ac:dyDescent="0.2">
      <c r="A20" s="22"/>
      <c r="B20" s="22"/>
      <c r="F20" s="23"/>
      <c r="G20" s="23"/>
      <c r="H20" s="23"/>
    </row>
    <row r="21" spans="1:25" s="21" customFormat="1" x14ac:dyDescent="0.2">
      <c r="B21" s="22"/>
      <c r="F21" s="23"/>
      <c r="G21" s="23"/>
      <c r="H21" s="23"/>
    </row>
    <row r="22" spans="1:25" s="21" customFormat="1" ht="12.75" customHeight="1" x14ac:dyDescent="0.2">
      <c r="A22" s="242" t="s">
        <v>189</v>
      </c>
      <c r="B22" s="243"/>
      <c r="C22" s="243"/>
      <c r="D22" s="243"/>
      <c r="E22" s="243"/>
      <c r="F22" s="243"/>
      <c r="G22" s="243"/>
      <c r="H22" s="243"/>
      <c r="I22" s="243"/>
      <c r="J22" s="223"/>
      <c r="K22" s="223"/>
      <c r="L22" s="223"/>
      <c r="M22" s="223"/>
      <c r="N22" s="223"/>
      <c r="O22" s="223"/>
      <c r="P22" s="223"/>
      <c r="Q22" s="223"/>
      <c r="R22" s="223"/>
      <c r="S22" s="223"/>
      <c r="T22" s="223"/>
      <c r="U22" s="223"/>
      <c r="V22" s="223"/>
      <c r="W22" s="223"/>
      <c r="X22" s="223"/>
      <c r="Y22" s="223"/>
    </row>
    <row r="23" spans="1:25" s="21" customFormat="1" ht="6" customHeight="1" x14ac:dyDescent="0.2">
      <c r="A23" s="48"/>
    </row>
    <row r="24" spans="1:25" s="21" customFormat="1" ht="12.75" customHeight="1" x14ac:dyDescent="0.2">
      <c r="A24" s="244" t="s">
        <v>190</v>
      </c>
      <c r="B24" s="244"/>
      <c r="C24" s="245"/>
      <c r="D24" s="245"/>
      <c r="E24" s="245"/>
      <c r="F24" s="245"/>
      <c r="G24" s="245"/>
      <c r="H24" s="245"/>
      <c r="I24" s="245"/>
      <c r="J24" s="245"/>
      <c r="K24" s="245"/>
      <c r="L24" s="245"/>
      <c r="M24" s="245"/>
      <c r="N24" s="245"/>
      <c r="O24" s="245"/>
      <c r="P24" s="245"/>
      <c r="Q24" s="245"/>
      <c r="R24" s="245"/>
      <c r="S24" s="245"/>
      <c r="T24" s="245"/>
      <c r="U24" s="245"/>
      <c r="V24" s="245"/>
      <c r="W24" s="245"/>
      <c r="X24" s="245"/>
    </row>
    <row r="25" spans="1:25" s="21" customFormat="1" ht="6" customHeight="1" x14ac:dyDescent="0.2">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5" s="21" customFormat="1" ht="12.75" customHeight="1" x14ac:dyDescent="0.2">
      <c r="A26" s="240" t="s">
        <v>191</v>
      </c>
      <c r="B26" s="240"/>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25" s="21" customFormat="1" ht="6" customHeight="1" x14ac:dyDescent="0.2">
      <c r="A27" s="25"/>
      <c r="B27" s="25"/>
      <c r="F27" s="23"/>
      <c r="G27" s="23"/>
      <c r="H27" s="23"/>
    </row>
    <row r="28" spans="1:25" ht="12.75" customHeight="1" x14ac:dyDescent="0.2">
      <c r="A28" s="238" t="s">
        <v>177</v>
      </c>
      <c r="B28" s="249"/>
      <c r="C28" s="238" t="s">
        <v>170</v>
      </c>
      <c r="D28" s="239"/>
      <c r="E28" s="249"/>
      <c r="F28" s="238" t="s">
        <v>171</v>
      </c>
      <c r="G28" s="239"/>
      <c r="H28" s="239"/>
      <c r="I28" s="249"/>
      <c r="J28" s="238" t="s">
        <v>172</v>
      </c>
      <c r="K28" s="239"/>
      <c r="L28" s="239"/>
      <c r="M28" s="239"/>
      <c r="N28" s="239"/>
      <c r="O28" s="249"/>
      <c r="P28" s="238" t="s">
        <v>0</v>
      </c>
      <c r="Q28" s="239"/>
      <c r="R28" s="239"/>
      <c r="S28" s="239"/>
      <c r="T28" s="239"/>
      <c r="U28" s="239"/>
      <c r="V28" s="239"/>
      <c r="W28" s="239"/>
      <c r="X28" s="249"/>
    </row>
    <row r="29" spans="1:25" ht="12.75" customHeight="1" x14ac:dyDescent="0.2">
      <c r="A29" s="233" t="s">
        <v>46</v>
      </c>
      <c r="B29" s="250"/>
      <c r="C29" s="233" t="s">
        <v>46</v>
      </c>
      <c r="D29" s="234"/>
      <c r="E29" s="235"/>
      <c r="F29" s="233" t="s">
        <v>46</v>
      </c>
      <c r="G29" s="306"/>
      <c r="H29" s="306"/>
      <c r="I29" s="250"/>
      <c r="J29" s="233" t="s">
        <v>46</v>
      </c>
      <c r="K29" s="306"/>
      <c r="L29" s="306"/>
      <c r="M29" s="306"/>
      <c r="N29" s="306"/>
      <c r="O29" s="250"/>
      <c r="P29" s="233" t="s">
        <v>264</v>
      </c>
      <c r="Q29" s="306"/>
      <c r="R29" s="306"/>
      <c r="S29" s="306"/>
      <c r="T29" s="306"/>
      <c r="U29" s="306"/>
      <c r="V29" s="306"/>
      <c r="W29" s="306"/>
      <c r="X29" s="250"/>
    </row>
    <row r="30" spans="1:25" ht="6" customHeight="1" x14ac:dyDescent="0.2">
      <c r="A30" s="3"/>
      <c r="B30" s="3"/>
      <c r="C30" s="3"/>
      <c r="D30" s="3"/>
      <c r="E30" s="3"/>
      <c r="F30" s="3"/>
      <c r="G30" s="3"/>
      <c r="H30" s="3"/>
      <c r="I30" s="3"/>
      <c r="J30" s="3"/>
      <c r="K30" s="3"/>
      <c r="L30" s="3"/>
      <c r="M30" s="3"/>
      <c r="N30" s="3"/>
      <c r="O30" s="3"/>
      <c r="P30" s="3"/>
      <c r="Q30" s="3"/>
      <c r="R30" s="3"/>
      <c r="S30" s="3"/>
      <c r="T30" s="3"/>
      <c r="U30" s="3"/>
      <c r="V30" s="3"/>
    </row>
    <row r="31" spans="1:25" x14ac:dyDescent="0.2">
      <c r="A31" s="238" t="s">
        <v>173</v>
      </c>
      <c r="B31" s="239"/>
      <c r="C31" s="239"/>
      <c r="D31" s="239"/>
      <c r="E31" s="239"/>
      <c r="F31" s="249"/>
      <c r="G31" s="238" t="s">
        <v>174</v>
      </c>
      <c r="H31" s="239"/>
      <c r="I31" s="239"/>
      <c r="J31" s="249"/>
      <c r="K31" s="238" t="s">
        <v>175</v>
      </c>
      <c r="L31" s="239"/>
      <c r="M31" s="239"/>
      <c r="N31" s="239"/>
      <c r="O31" s="239"/>
      <c r="P31" s="249"/>
      <c r="Q31" s="238" t="s">
        <v>180</v>
      </c>
      <c r="R31" s="239"/>
      <c r="S31" s="239"/>
      <c r="T31" s="239"/>
      <c r="U31" s="239"/>
      <c r="V31" s="239"/>
      <c r="W31" s="239"/>
      <c r="X31" s="249"/>
    </row>
    <row r="32" spans="1:25" x14ac:dyDescent="0.2">
      <c r="A32" s="307" t="s">
        <v>229</v>
      </c>
      <c r="B32" s="308"/>
      <c r="C32" s="308"/>
      <c r="D32" s="308"/>
      <c r="E32" s="308"/>
      <c r="F32" s="309"/>
      <c r="G32" s="233" t="s">
        <v>230</v>
      </c>
      <c r="H32" s="234"/>
      <c r="I32" s="234"/>
      <c r="J32" s="235"/>
      <c r="K32" s="233" t="s">
        <v>265</v>
      </c>
      <c r="L32" s="306"/>
      <c r="M32" s="306"/>
      <c r="N32" s="306"/>
      <c r="O32" s="306"/>
      <c r="P32" s="250"/>
      <c r="Q32" s="233" t="s">
        <v>266</v>
      </c>
      <c r="R32" s="306"/>
      <c r="S32" s="306"/>
      <c r="T32" s="306"/>
      <c r="U32" s="306"/>
      <c r="V32" s="306"/>
      <c r="W32" s="306"/>
      <c r="X32" s="250"/>
    </row>
    <row r="33" spans="1:24" s="21" customFormat="1" ht="9" customHeight="1" x14ac:dyDescent="0.2">
      <c r="A33" s="22"/>
      <c r="B33" s="22"/>
      <c r="F33" s="23"/>
      <c r="G33" s="23"/>
      <c r="H33" s="23"/>
    </row>
    <row r="34" spans="1:24" s="27" customFormat="1" x14ac:dyDescent="0.2"/>
    <row r="35" spans="1:24" s="21" customFormat="1" ht="12.75" customHeight="1" x14ac:dyDescent="0.2">
      <c r="A35" s="240" t="s">
        <v>192</v>
      </c>
      <c r="B35" s="240"/>
      <c r="C35" s="241"/>
      <c r="D35" s="241"/>
      <c r="E35" s="241"/>
      <c r="F35" s="241"/>
      <c r="G35" s="241"/>
      <c r="H35" s="241"/>
      <c r="I35" s="241"/>
      <c r="J35" s="241"/>
      <c r="K35" s="241"/>
      <c r="L35" s="241"/>
      <c r="M35" s="241"/>
      <c r="N35" s="241"/>
      <c r="O35" s="241"/>
      <c r="P35" s="241"/>
      <c r="Q35" s="241"/>
      <c r="R35" s="241"/>
      <c r="S35" s="241"/>
      <c r="T35" s="241"/>
      <c r="U35" s="241"/>
      <c r="V35" s="241"/>
      <c r="W35" s="241"/>
      <c r="X35" s="241"/>
    </row>
    <row r="36" spans="1:24" s="21" customFormat="1" ht="6" customHeight="1" x14ac:dyDescent="0.2">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x14ac:dyDescent="0.2">
      <c r="A37" s="238" t="s">
        <v>16</v>
      </c>
      <c r="B37" s="249"/>
      <c r="C37" s="92" t="s">
        <v>91</v>
      </c>
      <c r="D37" s="238" t="s">
        <v>14</v>
      </c>
      <c r="E37" s="239"/>
      <c r="F37" s="249"/>
      <c r="G37" s="238" t="s">
        <v>12</v>
      </c>
      <c r="H37" s="239"/>
      <c r="I37" s="239"/>
      <c r="J37" s="239"/>
      <c r="K37" s="239"/>
      <c r="L37" s="239"/>
      <c r="M37" s="239"/>
      <c r="N37" s="239"/>
      <c r="O37" s="239"/>
      <c r="P37" s="239"/>
      <c r="Q37" s="239"/>
      <c r="R37" s="239"/>
      <c r="S37" s="249"/>
      <c r="T37" s="93" t="s">
        <v>7</v>
      </c>
      <c r="U37" s="93" t="s">
        <v>8</v>
      </c>
      <c r="V37" s="93" t="s">
        <v>9</v>
      </c>
      <c r="W37" s="93" t="s">
        <v>10</v>
      </c>
      <c r="X37" s="93" t="s">
        <v>11</v>
      </c>
    </row>
    <row r="38" spans="1:24" s="21" customFormat="1" ht="12.75" customHeight="1" x14ac:dyDescent="0.2">
      <c r="A38" s="254">
        <v>43922</v>
      </c>
      <c r="B38" s="255"/>
      <c r="C38" s="91" t="s">
        <v>231</v>
      </c>
      <c r="D38" s="233" t="s">
        <v>78</v>
      </c>
      <c r="E38" s="234"/>
      <c r="F38" s="235"/>
      <c r="G38" s="233" t="s">
        <v>266</v>
      </c>
      <c r="H38" s="234"/>
      <c r="I38" s="234"/>
      <c r="J38" s="234"/>
      <c r="K38" s="234"/>
      <c r="L38" s="234"/>
      <c r="M38" s="234"/>
      <c r="N38" s="234"/>
      <c r="O38" s="234"/>
      <c r="P38" s="234"/>
      <c r="Q38" s="234"/>
      <c r="R38" s="234"/>
      <c r="S38" s="235"/>
      <c r="T38" s="95">
        <f ca="1">IF(ISERROR(INDIRECT("'BDI ("&amp;RIGHT(T37,1)&amp;")'!N27")),"",INDIRECT("'BDI ("&amp;RIGHT(T37,1)&amp;")'!N27"))</f>
        <v>0.2223</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x14ac:dyDescent="0.2">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x14ac:dyDescent="0.2">
      <c r="A40" s="240" t="s">
        <v>162</v>
      </c>
      <c r="B40" s="240"/>
      <c r="C40" s="241"/>
      <c r="D40" s="241"/>
      <c r="E40" s="241"/>
      <c r="F40" s="241"/>
      <c r="G40" s="241"/>
      <c r="H40" s="241"/>
      <c r="I40" s="241"/>
      <c r="J40" s="241"/>
      <c r="K40" s="241"/>
      <c r="L40" s="241"/>
      <c r="M40" s="241"/>
      <c r="N40" s="241"/>
      <c r="O40" s="241"/>
      <c r="P40" s="241"/>
      <c r="Q40" s="241"/>
      <c r="R40" s="241"/>
      <c r="S40" s="241"/>
      <c r="T40" s="241"/>
      <c r="U40" s="241"/>
      <c r="V40" s="241"/>
      <c r="W40" s="241"/>
      <c r="X40" s="241"/>
    </row>
    <row r="41" spans="1:24" s="21" customFormat="1" ht="6" customHeight="1" x14ac:dyDescent="0.2">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x14ac:dyDescent="0.2">
      <c r="A42" s="238" t="s">
        <v>87</v>
      </c>
      <c r="B42" s="249"/>
      <c r="C42" s="238" t="s">
        <v>111</v>
      </c>
      <c r="D42" s="239"/>
      <c r="E42" s="239"/>
      <c r="F42" s="239"/>
      <c r="G42" s="239"/>
      <c r="H42" s="238" t="s">
        <v>16</v>
      </c>
      <c r="I42" s="239"/>
      <c r="J42" s="28" t="s">
        <v>91</v>
      </c>
      <c r="K42" s="238" t="s">
        <v>88</v>
      </c>
      <c r="L42" s="239"/>
      <c r="M42" s="249"/>
      <c r="N42" s="28" t="s">
        <v>92</v>
      </c>
      <c r="O42" s="238" t="s">
        <v>93</v>
      </c>
      <c r="P42" s="239"/>
      <c r="Q42" s="239"/>
      <c r="R42" s="239"/>
      <c r="S42" s="239"/>
      <c r="T42" s="249"/>
      <c r="U42" s="256" t="s">
        <v>89</v>
      </c>
      <c r="V42" s="257"/>
      <c r="W42" s="256" t="s">
        <v>90</v>
      </c>
      <c r="X42" s="257"/>
    </row>
    <row r="43" spans="1:24" s="21" customFormat="1" ht="12.75" customHeight="1" x14ac:dyDescent="0.2">
      <c r="A43" s="277"/>
      <c r="B43" s="278"/>
      <c r="C43" s="233"/>
      <c r="D43" s="234"/>
      <c r="E43" s="234"/>
      <c r="F43" s="234"/>
      <c r="G43" s="234"/>
      <c r="H43" s="254"/>
      <c r="I43" s="255"/>
      <c r="J43" s="88"/>
      <c r="K43" s="310"/>
      <c r="L43" s="311"/>
      <c r="M43" s="312"/>
      <c r="N43" s="104"/>
      <c r="O43" s="265"/>
      <c r="P43" s="266"/>
      <c r="Q43" s="266"/>
      <c r="R43" s="267"/>
      <c r="S43" s="267"/>
      <c r="T43" s="268"/>
      <c r="U43" s="263"/>
      <c r="V43" s="269"/>
      <c r="W43" s="263"/>
      <c r="X43" s="264"/>
    </row>
    <row r="44" spans="1:24" s="21" customFormat="1" ht="12.75" customHeight="1" x14ac:dyDescent="0.2">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x14ac:dyDescent="0.2">
      <c r="A45" s="240" t="s">
        <v>193</v>
      </c>
      <c r="B45" s="240"/>
      <c r="C45" s="241"/>
      <c r="D45" s="241"/>
      <c r="E45" s="241"/>
      <c r="F45" s="241"/>
      <c r="G45" s="241"/>
      <c r="H45" s="241"/>
      <c r="I45" s="241"/>
      <c r="J45" s="241"/>
      <c r="K45" s="241"/>
      <c r="L45" s="241"/>
      <c r="M45" s="241"/>
      <c r="N45" s="241"/>
      <c r="O45" s="241"/>
      <c r="P45" s="241"/>
      <c r="Q45" s="241"/>
      <c r="R45" s="241"/>
      <c r="S45" s="241"/>
      <c r="T45" s="241"/>
      <c r="U45" s="241"/>
      <c r="V45" s="241"/>
      <c r="W45" s="241"/>
      <c r="X45" s="241"/>
    </row>
    <row r="46" spans="1:24" s="21" customFormat="1" ht="6" customHeight="1" x14ac:dyDescent="0.2">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24" s="21" customFormat="1" x14ac:dyDescent="0.2">
      <c r="A47" s="28" t="s">
        <v>15</v>
      </c>
      <c r="B47" s="29"/>
      <c r="C47" s="30"/>
    </row>
    <row r="48" spans="1:24" s="21" customFormat="1" x14ac:dyDescent="0.2">
      <c r="A48" s="291">
        <v>44044</v>
      </c>
      <c r="B48" s="292"/>
      <c r="C48" s="293"/>
      <c r="E48" s="37"/>
    </row>
    <row r="49" spans="1:24" s="21" customFormat="1" x14ac:dyDescent="0.2">
      <c r="A49" s="22"/>
      <c r="B49" s="22"/>
      <c r="F49" s="33"/>
      <c r="G49" s="34"/>
      <c r="H49" s="35"/>
    </row>
    <row r="50" spans="1:24" s="21" customFormat="1" x14ac:dyDescent="0.2">
      <c r="A50" s="240" t="s">
        <v>194</v>
      </c>
      <c r="B50" s="240"/>
      <c r="C50" s="241"/>
      <c r="D50" s="241"/>
      <c r="E50" s="241"/>
      <c r="F50" s="241"/>
      <c r="G50" s="241"/>
      <c r="H50" s="241"/>
      <c r="I50" s="241"/>
      <c r="J50" s="241"/>
      <c r="K50" s="241"/>
      <c r="L50" s="241"/>
      <c r="M50" s="241"/>
      <c r="N50" s="241"/>
      <c r="O50" s="241"/>
      <c r="P50" s="241"/>
      <c r="Q50" s="241"/>
      <c r="R50" s="241"/>
      <c r="S50" s="241"/>
      <c r="T50" s="241"/>
      <c r="U50" s="241"/>
      <c r="V50" s="241"/>
      <c r="W50" s="241"/>
      <c r="X50" s="241"/>
    </row>
    <row r="51" spans="1:24" s="21" customFormat="1" x14ac:dyDescent="0.2">
      <c r="A51" s="26"/>
      <c r="B51" s="26"/>
      <c r="C51" s="32"/>
      <c r="D51" s="32"/>
      <c r="E51" s="32"/>
      <c r="F51" s="32"/>
      <c r="G51" s="32"/>
      <c r="H51" s="32"/>
      <c r="I51" s="32"/>
      <c r="J51" s="32"/>
      <c r="K51" s="32"/>
      <c r="L51" s="32"/>
      <c r="M51"/>
      <c r="N51"/>
      <c r="O51"/>
      <c r="P51"/>
      <c r="Q51"/>
      <c r="R51"/>
      <c r="S51"/>
      <c r="T51"/>
      <c r="U51"/>
      <c r="V51"/>
      <c r="W51"/>
      <c r="X51"/>
    </row>
    <row r="52" spans="1:24" s="21" customFormat="1" x14ac:dyDescent="0.2">
      <c r="A52" s="26"/>
      <c r="B52" s="26"/>
      <c r="C52" s="32"/>
      <c r="D52" s="32"/>
      <c r="E52" s="32"/>
      <c r="F52" s="32"/>
      <c r="G52" s="8" t="s">
        <v>18</v>
      </c>
      <c r="H52" s="32"/>
      <c r="I52" s="32"/>
      <c r="K52" s="86" t="s">
        <v>232</v>
      </c>
      <c r="L52" s="32"/>
      <c r="M52"/>
      <c r="N52"/>
      <c r="O52"/>
      <c r="P52"/>
      <c r="Q52"/>
      <c r="R52"/>
      <c r="S52"/>
      <c r="T52"/>
      <c r="U52"/>
      <c r="V52"/>
      <c r="W52"/>
      <c r="X52"/>
    </row>
    <row r="53" spans="1:24" s="21" customFormat="1" x14ac:dyDescent="0.2">
      <c r="A53" s="39"/>
      <c r="B53" s="39"/>
      <c r="C53" s="40"/>
      <c r="D53" s="40"/>
      <c r="E53" s="40"/>
      <c r="F53" s="33"/>
      <c r="G53" s="39"/>
      <c r="H53" s="39"/>
      <c r="I53" s="40"/>
      <c r="J53" s="40"/>
      <c r="K53" s="40"/>
      <c r="L53" s="2"/>
      <c r="M53"/>
      <c r="N53"/>
      <c r="O53"/>
      <c r="P53"/>
      <c r="Q53"/>
      <c r="R53"/>
      <c r="S53"/>
      <c r="T53"/>
      <c r="U53"/>
      <c r="V53"/>
      <c r="W53"/>
      <c r="X53"/>
    </row>
    <row r="54" spans="1:24" s="21" customFormat="1" x14ac:dyDescent="0.2">
      <c r="A54" s="101" t="s">
        <v>140</v>
      </c>
      <c r="B54" s="294" t="s">
        <v>233</v>
      </c>
      <c r="C54" s="294"/>
      <c r="D54" s="294"/>
      <c r="E54" s="294"/>
      <c r="F54" s="33"/>
      <c r="G54" s="101" t="s">
        <v>140</v>
      </c>
      <c r="H54" s="294"/>
      <c r="I54" s="294"/>
      <c r="J54" s="294"/>
      <c r="K54" s="294"/>
      <c r="L54" s="2"/>
      <c r="M54"/>
      <c r="N54"/>
      <c r="O54"/>
      <c r="P54"/>
      <c r="Q54"/>
      <c r="R54"/>
      <c r="S54"/>
      <c r="T54"/>
      <c r="U54"/>
      <c r="V54"/>
      <c r="W54"/>
      <c r="X54"/>
    </row>
    <row r="55" spans="1:24" s="21" customFormat="1" x14ac:dyDescent="0.2">
      <c r="A55" s="101" t="str">
        <f>IF(OR(TipoOrçamento="BASE",TipoOrçamento="REPROGRAMADONPL"),"Título:","Cargo:")</f>
        <v>Título:</v>
      </c>
      <c r="B55" s="294" t="s">
        <v>234</v>
      </c>
      <c r="C55" s="294"/>
      <c r="D55" s="294"/>
      <c r="E55" s="294"/>
      <c r="F55" s="33"/>
      <c r="G55" s="101" t="str">
        <f>A55</f>
        <v>Título:</v>
      </c>
      <c r="H55" s="294"/>
      <c r="I55" s="294"/>
      <c r="J55" s="294"/>
      <c r="K55" s="294"/>
      <c r="L55" s="2"/>
      <c r="M55"/>
      <c r="N55"/>
      <c r="O55"/>
      <c r="P55"/>
      <c r="Q55"/>
      <c r="R55"/>
      <c r="S55"/>
      <c r="T55"/>
      <c r="U55"/>
      <c r="V55"/>
      <c r="W55"/>
      <c r="X55"/>
    </row>
    <row r="56" spans="1:24" s="21" customFormat="1" x14ac:dyDescent="0.2">
      <c r="A56" s="101" t="str">
        <f>IF(OR(TipoOrçamento="BASE",TipoOrçamento="REPROGRAMADONPL"),"CREA/CAU:","Empresa:")</f>
        <v>CREA/CAU:</v>
      </c>
      <c r="B56" s="276" t="s">
        <v>235</v>
      </c>
      <c r="C56" s="262"/>
      <c r="D56" s="262"/>
      <c r="E56" s="262"/>
      <c r="F56" s="33"/>
      <c r="G56" s="101" t="str">
        <f>A56</f>
        <v>CREA/CAU:</v>
      </c>
      <c r="H56" s="262"/>
      <c r="I56" s="262"/>
      <c r="J56" s="262"/>
      <c r="K56" s="262"/>
      <c r="L56" s="2"/>
      <c r="M56"/>
      <c r="N56"/>
      <c r="O56"/>
      <c r="P56"/>
      <c r="Q56"/>
      <c r="R56"/>
      <c r="S56"/>
      <c r="T56"/>
      <c r="U56"/>
      <c r="V56"/>
      <c r="W56"/>
      <c r="X56"/>
    </row>
    <row r="57" spans="1:24" s="21" customFormat="1" x14ac:dyDescent="0.2">
      <c r="A57" s="101" t="str">
        <f>IF(OR(TipoOrçamento="BASE",TipoOrçamento="REPROGRAMADONPL"),"ART/RRT:","CNPJ:")</f>
        <v>ART/RRT:</v>
      </c>
      <c r="B57" s="276" t="s">
        <v>267</v>
      </c>
      <c r="C57" s="262"/>
      <c r="D57" s="262"/>
      <c r="E57" s="262"/>
      <c r="F57" s="33"/>
      <c r="G57" s="101" t="str">
        <f>A57</f>
        <v>ART/RRT:</v>
      </c>
      <c r="H57" s="262"/>
      <c r="I57" s="262"/>
      <c r="J57" s="262"/>
      <c r="K57" s="262"/>
      <c r="L57" s="2"/>
      <c r="M57"/>
      <c r="N57"/>
      <c r="O57"/>
      <c r="P57"/>
      <c r="Q57"/>
      <c r="R57"/>
      <c r="S57"/>
      <c r="T57"/>
      <c r="U57"/>
      <c r="V57"/>
      <c r="W57"/>
      <c r="X57"/>
    </row>
    <row r="58" spans="1:24" s="21" customFormat="1" x14ac:dyDescent="0.2">
      <c r="A58" s="22"/>
      <c r="B58" s="22"/>
      <c r="F58" s="33"/>
      <c r="G58" s="34"/>
      <c r="H58" s="35"/>
      <c r="M58"/>
      <c r="N58"/>
      <c r="O58"/>
      <c r="P58"/>
      <c r="Q58"/>
      <c r="R58"/>
      <c r="S58"/>
      <c r="T58"/>
      <c r="U58"/>
      <c r="V58"/>
      <c r="W58"/>
      <c r="X58"/>
    </row>
    <row r="59" spans="1:24" s="21" customFormat="1" x14ac:dyDescent="0.2">
      <c r="A59" s="22"/>
      <c r="B59" s="22"/>
      <c r="F59" s="33"/>
      <c r="G59" s="34"/>
      <c r="H59" s="35"/>
      <c r="M59"/>
      <c r="N59"/>
      <c r="O59"/>
      <c r="P59"/>
      <c r="Q59"/>
      <c r="R59"/>
      <c r="S59"/>
      <c r="T59"/>
      <c r="U59"/>
      <c r="V59"/>
      <c r="W59"/>
      <c r="X59"/>
    </row>
    <row r="60" spans="1:24" s="21" customFormat="1" ht="12.75" customHeight="1" x14ac:dyDescent="0.2">
      <c r="A60" s="244" t="s">
        <v>195</v>
      </c>
      <c r="B60" s="244"/>
      <c r="C60" s="245"/>
      <c r="D60" s="245"/>
      <c r="E60" s="245"/>
      <c r="F60" s="245"/>
      <c r="G60" s="245"/>
      <c r="H60" s="245"/>
      <c r="I60" s="245"/>
      <c r="J60" s="245"/>
      <c r="K60" s="245"/>
      <c r="L60" s="245"/>
      <c r="M60" s="245"/>
      <c r="N60" s="245"/>
      <c r="O60" s="245"/>
      <c r="P60" s="245"/>
      <c r="Q60" s="245"/>
      <c r="R60" s="245"/>
      <c r="S60" s="245"/>
      <c r="T60" s="245"/>
      <c r="U60" s="245"/>
      <c r="V60" s="245"/>
      <c r="W60" s="245"/>
      <c r="X60" s="245"/>
    </row>
    <row r="61" spans="1:24" s="21" customFormat="1" x14ac:dyDescent="0.2">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x14ac:dyDescent="0.2">
      <c r="A62" s="251" t="s">
        <v>196</v>
      </c>
      <c r="B62" s="252"/>
      <c r="C62" s="253"/>
      <c r="D62" s="253"/>
      <c r="E62" s="253"/>
      <c r="F62" s="253"/>
      <c r="G62" s="253"/>
      <c r="H62" s="253"/>
      <c r="I62" s="253"/>
      <c r="J62" s="253"/>
      <c r="K62" s="253"/>
      <c r="L62" s="253"/>
      <c r="M62" s="253"/>
      <c r="N62" s="253"/>
      <c r="O62" s="253"/>
      <c r="P62" s="253"/>
      <c r="Q62" s="253"/>
      <c r="R62" s="253"/>
      <c r="S62" s="253"/>
      <c r="T62" s="253"/>
      <c r="U62" s="253"/>
      <c r="V62" s="253"/>
      <c r="W62" s="253"/>
      <c r="X62" s="253"/>
    </row>
    <row r="63" spans="1:24" s="21" customFormat="1" ht="30" customHeight="1" x14ac:dyDescent="0.2">
      <c r="A63" s="251" t="s">
        <v>197</v>
      </c>
      <c r="B63" s="251"/>
      <c r="C63" s="295"/>
      <c r="D63" s="295"/>
      <c r="E63" s="295"/>
      <c r="F63" s="295"/>
      <c r="G63" s="295"/>
      <c r="H63" s="295"/>
      <c r="I63" s="295"/>
      <c r="J63" s="295"/>
      <c r="K63" s="295"/>
      <c r="L63" s="295"/>
      <c r="M63" s="295"/>
      <c r="N63" s="295"/>
      <c r="O63" s="295"/>
      <c r="P63" s="295"/>
      <c r="Q63" s="295"/>
      <c r="R63" s="295"/>
      <c r="S63" s="295"/>
      <c r="T63" s="295"/>
      <c r="U63" s="295"/>
      <c r="V63" s="295"/>
      <c r="W63" s="295"/>
      <c r="X63" s="295"/>
    </row>
    <row r="64" spans="1:24" s="21" customFormat="1" x14ac:dyDescent="0.2">
      <c r="A64" s="22"/>
      <c r="B64" s="22"/>
      <c r="F64" s="33"/>
      <c r="G64" s="34"/>
      <c r="H64" s="35"/>
      <c r="M64"/>
      <c r="N64"/>
      <c r="O64"/>
      <c r="P64"/>
      <c r="Q64"/>
      <c r="R64"/>
      <c r="S64"/>
      <c r="T64"/>
      <c r="U64"/>
      <c r="V64"/>
      <c r="W64"/>
      <c r="X64"/>
    </row>
    <row r="65" spans="1:24" s="21" customFormat="1" ht="12.75" customHeight="1" x14ac:dyDescent="0.2">
      <c r="A65" s="244" t="s">
        <v>198</v>
      </c>
      <c r="B65" s="244"/>
      <c r="C65" s="245"/>
      <c r="D65" s="245"/>
      <c r="E65" s="245"/>
      <c r="F65" s="245"/>
      <c r="G65" s="245"/>
      <c r="H65" s="245"/>
      <c r="I65" s="245"/>
      <c r="J65" s="245"/>
      <c r="K65" s="245"/>
      <c r="L65" s="245"/>
      <c r="M65" s="245"/>
      <c r="N65" s="245"/>
      <c r="O65" s="245"/>
      <c r="P65" s="245"/>
      <c r="Q65" s="245"/>
      <c r="R65" s="245"/>
      <c r="S65" s="245"/>
      <c r="T65" s="245"/>
      <c r="U65" s="245"/>
      <c r="V65" s="245"/>
      <c r="W65" s="245"/>
      <c r="X65" s="245"/>
    </row>
    <row r="66" spans="1:24" s="21" customFormat="1" x14ac:dyDescent="0.2">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x14ac:dyDescent="0.2">
      <c r="A67" s="240" t="s">
        <v>199</v>
      </c>
      <c r="B67" s="240"/>
      <c r="C67" s="241"/>
      <c r="D67" s="241"/>
      <c r="E67" s="241"/>
      <c r="F67" s="241"/>
      <c r="G67" s="241"/>
      <c r="H67" s="241"/>
      <c r="I67" s="241"/>
      <c r="J67" s="241"/>
      <c r="K67" s="241"/>
      <c r="L67" s="241"/>
      <c r="M67" s="241"/>
      <c r="N67" s="241"/>
      <c r="O67" s="241"/>
      <c r="P67" s="241"/>
      <c r="Q67" s="241"/>
      <c r="R67" s="241"/>
      <c r="S67" s="241"/>
      <c r="T67" s="241"/>
      <c r="U67" s="241"/>
      <c r="V67" s="241"/>
      <c r="W67" s="241"/>
      <c r="X67" s="241"/>
    </row>
    <row r="68" spans="1:24" s="21" customFormat="1" x14ac:dyDescent="0.2">
      <c r="A68" s="240" t="s">
        <v>200</v>
      </c>
      <c r="B68" s="240"/>
      <c r="C68" s="241"/>
      <c r="D68" s="241"/>
      <c r="E68" s="241"/>
      <c r="F68" s="241"/>
      <c r="G68" s="241"/>
      <c r="H68" s="241"/>
      <c r="I68" s="241"/>
      <c r="J68" s="241"/>
      <c r="K68" s="241"/>
      <c r="L68" s="241"/>
      <c r="M68" s="241"/>
      <c r="N68" s="241"/>
      <c r="O68" s="241"/>
      <c r="P68" s="241"/>
      <c r="Q68" s="241"/>
      <c r="R68" s="241"/>
      <c r="S68" s="241"/>
      <c r="T68" s="241"/>
      <c r="U68" s="241"/>
      <c r="V68" s="241"/>
      <c r="W68" s="241"/>
      <c r="X68" s="241"/>
    </row>
    <row r="69" spans="1:24" s="21" customFormat="1" ht="12.75" customHeight="1" x14ac:dyDescent="0.2">
      <c r="A69" s="240" t="s">
        <v>201</v>
      </c>
      <c r="B69" s="240"/>
      <c r="C69" s="241"/>
      <c r="D69" s="241"/>
      <c r="E69" s="241"/>
      <c r="F69" s="241"/>
      <c r="G69" s="241"/>
      <c r="H69" s="241"/>
      <c r="I69" s="241"/>
      <c r="J69" s="241"/>
      <c r="K69" s="241"/>
      <c r="L69" s="241"/>
      <c r="M69" s="241"/>
      <c r="N69" s="241"/>
      <c r="O69" s="241"/>
      <c r="P69" s="241"/>
      <c r="Q69" s="241"/>
      <c r="R69" s="241"/>
      <c r="S69" s="241"/>
      <c r="T69" s="241"/>
      <c r="U69" s="241"/>
      <c r="V69" s="241"/>
      <c r="W69" s="241"/>
      <c r="X69" s="241"/>
    </row>
    <row r="70" spans="1:24" s="21" customFormat="1" ht="12.75" customHeight="1" x14ac:dyDescent="0.2">
      <c r="A70" s="240" t="s">
        <v>202</v>
      </c>
      <c r="B70" s="240"/>
      <c r="C70" s="241"/>
      <c r="D70" s="241"/>
      <c r="E70" s="241"/>
      <c r="F70" s="241"/>
      <c r="G70" s="241"/>
      <c r="H70" s="241"/>
      <c r="I70" s="241"/>
      <c r="J70" s="241"/>
      <c r="K70" s="241"/>
      <c r="L70" s="241"/>
      <c r="M70" s="241"/>
      <c r="N70" s="241"/>
      <c r="O70" s="241"/>
      <c r="P70" s="241"/>
      <c r="Q70" s="241"/>
      <c r="R70" s="241"/>
      <c r="S70" s="241"/>
      <c r="T70" s="241"/>
      <c r="U70" s="241"/>
      <c r="V70" s="241"/>
      <c r="W70" s="241"/>
      <c r="X70" s="241"/>
    </row>
    <row r="71" spans="1:24" s="21" customFormat="1" ht="12.75" customHeight="1" x14ac:dyDescent="0.2">
      <c r="A71" s="240" t="s">
        <v>203</v>
      </c>
      <c r="B71" s="240"/>
      <c r="C71" s="241"/>
      <c r="D71" s="241"/>
      <c r="E71" s="241"/>
      <c r="F71" s="241"/>
      <c r="G71" s="241"/>
      <c r="H71" s="241"/>
      <c r="I71" s="241"/>
      <c r="J71" s="241"/>
      <c r="K71" s="241"/>
      <c r="L71" s="241"/>
      <c r="M71" s="241"/>
      <c r="N71" s="241"/>
      <c r="O71" s="241"/>
      <c r="P71" s="241"/>
      <c r="Q71" s="241"/>
      <c r="R71" s="241"/>
      <c r="S71" s="241"/>
      <c r="T71" s="241"/>
      <c r="U71" s="241"/>
      <c r="V71" s="241"/>
      <c r="W71" s="241"/>
      <c r="X71" s="241"/>
    </row>
    <row r="72" spans="1:24" s="21" customFormat="1" ht="12.75" customHeight="1" x14ac:dyDescent="0.2">
      <c r="A72" s="240" t="s">
        <v>204</v>
      </c>
      <c r="B72" s="240"/>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24" s="21" customFormat="1" x14ac:dyDescent="0.2">
      <c r="A73" s="22"/>
      <c r="B73" s="22"/>
      <c r="F73" s="33"/>
      <c r="G73" s="34"/>
      <c r="H73" s="35"/>
    </row>
    <row r="74" spans="1:24" s="21" customFormat="1" ht="12.75" customHeight="1" x14ac:dyDescent="0.2">
      <c r="A74" s="244" t="s">
        <v>205</v>
      </c>
      <c r="B74" s="244"/>
      <c r="C74" s="245"/>
      <c r="D74" s="245"/>
      <c r="E74" s="245"/>
      <c r="F74" s="245"/>
      <c r="G74" s="245"/>
      <c r="H74" s="245"/>
      <c r="I74" s="245"/>
      <c r="J74" s="245"/>
      <c r="K74" s="245"/>
      <c r="L74" s="245"/>
      <c r="M74" s="245"/>
      <c r="N74" s="245"/>
      <c r="O74" s="245"/>
      <c r="P74" s="245"/>
      <c r="Q74" s="245"/>
      <c r="R74" s="245"/>
      <c r="S74" s="245"/>
      <c r="T74" s="245"/>
      <c r="U74" s="245"/>
      <c r="V74" s="245"/>
      <c r="W74" s="245"/>
      <c r="X74" s="245"/>
    </row>
    <row r="75" spans="1:24" s="21" customFormat="1" x14ac:dyDescent="0.2">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x14ac:dyDescent="0.2">
      <c r="A76" s="240" t="s">
        <v>206</v>
      </c>
      <c r="B76" s="240"/>
      <c r="C76" s="241"/>
      <c r="D76" s="241"/>
      <c r="E76" s="241"/>
      <c r="F76" s="241"/>
      <c r="G76" s="241"/>
      <c r="H76" s="241"/>
      <c r="I76" s="241"/>
      <c r="J76" s="241"/>
      <c r="K76" s="241"/>
      <c r="L76" s="241"/>
      <c r="M76" s="241"/>
      <c r="N76" s="241"/>
      <c r="O76" s="241"/>
      <c r="P76" s="241"/>
      <c r="Q76" s="241"/>
      <c r="R76" s="241"/>
      <c r="S76" s="241"/>
      <c r="T76" s="241"/>
      <c r="U76" s="241"/>
      <c r="V76" s="241"/>
      <c r="W76" s="241"/>
      <c r="X76" s="241"/>
    </row>
    <row r="77" spans="1:24" s="21" customFormat="1" ht="26.1" customHeight="1" x14ac:dyDescent="0.2">
      <c r="A77" s="236" t="s">
        <v>207</v>
      </c>
      <c r="B77" s="236"/>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1:24" s="21" customFormat="1" ht="12.75" customHeight="1" x14ac:dyDescent="0.2">
      <c r="A78" s="240" t="s">
        <v>208</v>
      </c>
      <c r="B78" s="240"/>
      <c r="C78" s="241"/>
      <c r="D78" s="241"/>
      <c r="E78" s="241"/>
      <c r="F78" s="241"/>
      <c r="G78" s="241"/>
      <c r="H78" s="241"/>
      <c r="I78" s="241"/>
      <c r="J78" s="241"/>
      <c r="K78" s="241"/>
      <c r="L78" s="241"/>
      <c r="M78" s="241"/>
      <c r="N78" s="241"/>
      <c r="O78" s="241"/>
      <c r="P78" s="241"/>
      <c r="Q78" s="241"/>
      <c r="R78" s="241"/>
      <c r="S78" s="241"/>
      <c r="T78" s="241"/>
      <c r="U78" s="241"/>
      <c r="V78" s="241"/>
      <c r="W78" s="241"/>
      <c r="X78" s="241"/>
    </row>
    <row r="79" spans="1:24" s="21" customFormat="1" ht="25.5" customHeight="1" x14ac:dyDescent="0.2">
      <c r="A79" s="240" t="s">
        <v>209</v>
      </c>
      <c r="B79" s="240"/>
      <c r="C79" s="241"/>
      <c r="D79" s="241"/>
      <c r="E79" s="241"/>
      <c r="F79" s="241"/>
      <c r="G79" s="241"/>
      <c r="H79" s="241"/>
      <c r="I79" s="241"/>
      <c r="J79" s="241"/>
      <c r="K79" s="241"/>
      <c r="L79" s="241"/>
      <c r="M79" s="241"/>
      <c r="N79" s="241"/>
      <c r="O79" s="241"/>
      <c r="P79" s="241"/>
      <c r="Q79" s="241"/>
      <c r="R79" s="241"/>
      <c r="S79" s="241"/>
      <c r="T79" s="241"/>
      <c r="U79" s="241"/>
      <c r="V79" s="241"/>
      <c r="W79" s="241"/>
      <c r="X79" s="241"/>
    </row>
    <row r="80" spans="1:24" s="21" customFormat="1" x14ac:dyDescent="0.2">
      <c r="A80" s="236" t="s">
        <v>210</v>
      </c>
      <c r="B80" s="236"/>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1:24" ht="12.75" customHeight="1" x14ac:dyDescent="0.2">
      <c r="A81" s="240" t="s">
        <v>211</v>
      </c>
      <c r="B81" s="240"/>
      <c r="C81" s="241"/>
      <c r="D81" s="241"/>
      <c r="E81" s="241"/>
      <c r="F81" s="241"/>
      <c r="G81" s="241"/>
      <c r="H81" s="241"/>
      <c r="I81" s="241"/>
      <c r="J81" s="241"/>
      <c r="K81" s="241"/>
      <c r="L81" s="241"/>
      <c r="M81" s="241"/>
      <c r="N81" s="241"/>
      <c r="O81" s="241"/>
      <c r="P81" s="241"/>
      <c r="Q81" s="241"/>
      <c r="R81" s="241"/>
      <c r="S81" s="241"/>
      <c r="T81" s="241"/>
      <c r="U81" s="241"/>
      <c r="V81" s="241"/>
      <c r="W81" s="241"/>
      <c r="X81" s="241"/>
    </row>
    <row r="82" spans="1:24" ht="26.1" customHeight="1" x14ac:dyDescent="0.2">
      <c r="A82" s="240" t="s">
        <v>212</v>
      </c>
      <c r="B82" s="240"/>
      <c r="C82" s="241"/>
      <c r="D82" s="241"/>
      <c r="E82" s="241"/>
      <c r="F82" s="241"/>
      <c r="G82" s="241"/>
      <c r="H82" s="241"/>
      <c r="I82" s="241"/>
      <c r="J82" s="241"/>
      <c r="K82" s="241"/>
      <c r="L82" s="241"/>
      <c r="M82" s="241"/>
      <c r="N82" s="241"/>
      <c r="O82" s="241"/>
      <c r="P82" s="241"/>
      <c r="Q82" s="241"/>
      <c r="R82" s="241"/>
      <c r="S82" s="241"/>
      <c r="T82" s="241"/>
      <c r="U82" s="241"/>
      <c r="V82" s="241"/>
      <c r="W82" s="241"/>
      <c r="X82" s="241"/>
    </row>
    <row r="83" spans="1:24" s="21" customFormat="1" ht="26.1" customHeight="1" x14ac:dyDescent="0.2">
      <c r="A83" s="240" t="s">
        <v>213</v>
      </c>
      <c r="B83" s="240"/>
      <c r="C83" s="241"/>
      <c r="D83" s="241"/>
      <c r="E83" s="241"/>
      <c r="F83" s="241"/>
      <c r="G83" s="241"/>
      <c r="H83" s="241"/>
      <c r="I83" s="241"/>
      <c r="J83" s="241"/>
      <c r="K83" s="241"/>
      <c r="L83" s="241"/>
      <c r="M83" s="241"/>
      <c r="N83" s="241"/>
      <c r="O83" s="241"/>
      <c r="P83" s="241"/>
      <c r="Q83" s="241"/>
      <c r="R83" s="241"/>
      <c r="S83" s="241"/>
      <c r="T83" s="241"/>
      <c r="U83" s="241"/>
      <c r="V83" s="241"/>
      <c r="W83" s="241"/>
      <c r="X83" s="241"/>
    </row>
    <row r="84" spans="1:24" s="21" customFormat="1" ht="12.75" customHeight="1" x14ac:dyDescent="0.2">
      <c r="A84" s="240" t="s">
        <v>214</v>
      </c>
      <c r="B84" s="240"/>
      <c r="C84" s="241"/>
      <c r="D84" s="241"/>
      <c r="E84" s="241"/>
      <c r="F84" s="241"/>
      <c r="G84" s="241"/>
      <c r="H84" s="241"/>
      <c r="I84" s="241"/>
      <c r="J84" s="241"/>
      <c r="K84" s="241"/>
      <c r="L84" s="241"/>
      <c r="M84" s="241"/>
      <c r="N84" s="241"/>
      <c r="O84" s="241"/>
      <c r="P84" s="241"/>
      <c r="Q84" s="241"/>
      <c r="R84" s="241"/>
      <c r="S84" s="241"/>
      <c r="T84" s="241"/>
      <c r="U84" s="241"/>
      <c r="V84" s="241"/>
      <c r="W84" s="241"/>
      <c r="X84" s="241"/>
    </row>
    <row r="85" spans="1:24" s="21" customFormat="1" x14ac:dyDescent="0.2">
      <c r="A85" s="240" t="s">
        <v>215</v>
      </c>
      <c r="B85" s="240"/>
      <c r="C85" s="241"/>
      <c r="D85" s="241"/>
      <c r="E85" s="241"/>
      <c r="F85" s="241"/>
      <c r="G85" s="241"/>
      <c r="H85" s="241"/>
      <c r="I85" s="241"/>
      <c r="J85" s="241"/>
      <c r="K85" s="241"/>
      <c r="L85" s="241"/>
      <c r="M85" s="241"/>
      <c r="N85" s="241"/>
      <c r="O85" s="241"/>
      <c r="P85" s="241"/>
      <c r="Q85" s="241"/>
      <c r="R85" s="241"/>
      <c r="S85" s="241"/>
      <c r="T85" s="241"/>
      <c r="U85" s="241"/>
      <c r="V85" s="241"/>
      <c r="W85" s="241"/>
      <c r="X85" s="241"/>
    </row>
    <row r="86" spans="1:24" ht="12.75" customHeight="1" x14ac:dyDescent="0.2">
      <c r="A86" s="236" t="s">
        <v>216</v>
      </c>
      <c r="B86" s="236"/>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x14ac:dyDescent="0.2">
      <c r="A87" s="240" t="s">
        <v>217</v>
      </c>
      <c r="B87" s="240"/>
      <c r="C87" s="241"/>
      <c r="D87" s="241"/>
      <c r="E87" s="241"/>
      <c r="F87" s="241"/>
      <c r="G87" s="241"/>
      <c r="H87" s="241"/>
      <c r="I87" s="241"/>
      <c r="J87" s="241"/>
      <c r="K87" s="241"/>
      <c r="L87" s="241"/>
      <c r="M87" s="241"/>
      <c r="N87" s="241"/>
      <c r="O87" s="241"/>
      <c r="P87" s="241"/>
      <c r="Q87" s="241"/>
      <c r="R87" s="241"/>
      <c r="S87" s="241"/>
      <c r="T87" s="241"/>
      <c r="U87" s="241"/>
      <c r="V87" s="241"/>
      <c r="W87" s="241"/>
      <c r="X87" s="241"/>
    </row>
    <row r="88" spans="1:24" x14ac:dyDescent="0.2">
      <c r="A88" s="240" t="s">
        <v>218</v>
      </c>
      <c r="B88" s="240"/>
      <c r="C88" s="241"/>
      <c r="D88" s="241"/>
      <c r="E88" s="241"/>
      <c r="F88" s="241"/>
      <c r="G88" s="241"/>
      <c r="H88" s="241"/>
      <c r="I88" s="241"/>
      <c r="J88" s="241"/>
      <c r="K88" s="241"/>
      <c r="L88" s="241"/>
      <c r="M88" s="241"/>
      <c r="N88" s="241"/>
      <c r="O88" s="241"/>
      <c r="P88" s="241"/>
      <c r="Q88" s="241"/>
      <c r="R88" s="241"/>
      <c r="S88" s="241"/>
      <c r="T88" s="241"/>
      <c r="U88" s="241"/>
      <c r="V88" s="241"/>
      <c r="W88" s="241"/>
      <c r="X88" s="241"/>
    </row>
    <row r="90" spans="1:24" x14ac:dyDescent="0.2">
      <c r="A90" s="244" t="s">
        <v>219</v>
      </c>
      <c r="B90" s="244"/>
      <c r="C90" s="245"/>
      <c r="D90" s="245"/>
      <c r="E90" s="245"/>
      <c r="F90" s="245"/>
      <c r="G90" s="245"/>
      <c r="H90" s="245"/>
      <c r="I90" s="245"/>
      <c r="J90" s="245"/>
      <c r="K90" s="245"/>
      <c r="L90" s="245"/>
      <c r="M90" s="245"/>
      <c r="N90" s="245"/>
      <c r="O90" s="245"/>
      <c r="P90" s="245"/>
      <c r="Q90" s="245"/>
      <c r="R90" s="245"/>
      <c r="S90" s="245"/>
      <c r="T90" s="245"/>
      <c r="U90" s="245"/>
      <c r="V90" s="245"/>
      <c r="W90" s="245"/>
      <c r="X90" s="245"/>
    </row>
    <row r="91" spans="1:24" x14ac:dyDescent="0.2">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x14ac:dyDescent="0.2">
      <c r="A92" s="240" t="s">
        <v>220</v>
      </c>
      <c r="B92" s="240"/>
      <c r="C92" s="241"/>
      <c r="D92" s="241"/>
      <c r="E92" s="241"/>
      <c r="F92" s="241"/>
      <c r="G92" s="241"/>
      <c r="H92" s="241"/>
      <c r="I92" s="241"/>
      <c r="J92" s="241"/>
      <c r="K92" s="241"/>
      <c r="L92" s="241"/>
      <c r="M92" s="241"/>
      <c r="N92" s="241"/>
      <c r="O92" s="241"/>
      <c r="P92" s="241"/>
      <c r="Q92" s="241"/>
      <c r="R92" s="241"/>
      <c r="S92" s="241"/>
      <c r="T92" s="241"/>
      <c r="U92" s="241"/>
      <c r="V92" s="241"/>
      <c r="W92" s="241"/>
      <c r="X92" s="241"/>
    </row>
    <row r="93" spans="1:24" ht="12.75" customHeight="1" x14ac:dyDescent="0.2">
      <c r="A93" s="236" t="s">
        <v>221</v>
      </c>
      <c r="B93" s="236"/>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12.75" customHeight="1" x14ac:dyDescent="0.2">
      <c r="A94" s="240" t="s">
        <v>222</v>
      </c>
      <c r="B94" s="240"/>
      <c r="C94" s="241"/>
      <c r="D94" s="241"/>
      <c r="E94" s="241"/>
      <c r="F94" s="241"/>
      <c r="G94" s="241"/>
      <c r="H94" s="241"/>
      <c r="I94" s="241"/>
      <c r="J94" s="241"/>
      <c r="K94" s="241"/>
      <c r="L94" s="241"/>
      <c r="M94" s="241"/>
      <c r="N94" s="241"/>
      <c r="O94" s="241"/>
      <c r="P94" s="241"/>
      <c r="Q94" s="241"/>
      <c r="R94" s="241"/>
      <c r="S94" s="241"/>
      <c r="T94" s="241"/>
      <c r="U94" s="241"/>
      <c r="V94" s="241"/>
      <c r="W94" s="241"/>
      <c r="X94" s="241"/>
    </row>
    <row r="95" spans="1:24" x14ac:dyDescent="0.2">
      <c r="A95" s="240" t="s">
        <v>223</v>
      </c>
      <c r="B95" s="240"/>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12.75" customHeight="1" x14ac:dyDescent="0.2">
      <c r="A96" s="236"/>
      <c r="B96" s="236"/>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1:24" x14ac:dyDescent="0.2">
      <c r="A97" s="244" t="s">
        <v>224</v>
      </c>
      <c r="B97" s="244"/>
      <c r="C97" s="245"/>
      <c r="D97" s="245"/>
      <c r="E97" s="245"/>
      <c r="F97" s="245"/>
      <c r="G97" s="245"/>
      <c r="H97" s="245"/>
      <c r="I97" s="245"/>
      <c r="J97" s="245"/>
      <c r="K97" s="245"/>
      <c r="L97" s="245"/>
      <c r="M97" s="245"/>
      <c r="N97" s="245"/>
      <c r="O97" s="245"/>
      <c r="P97" s="245"/>
      <c r="Q97" s="245"/>
      <c r="R97" s="245"/>
      <c r="S97" s="245"/>
      <c r="T97" s="245"/>
      <c r="U97" s="245"/>
      <c r="V97" s="245"/>
      <c r="W97" s="245"/>
      <c r="X97" s="245"/>
    </row>
    <row r="98" spans="1:24" ht="12.75" customHeight="1" x14ac:dyDescent="0.2">
      <c r="A98" s="236"/>
      <c r="B98" s="236"/>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1:24" ht="12.75" customHeight="1" x14ac:dyDescent="0.2">
      <c r="A99" s="240" t="s">
        <v>225</v>
      </c>
      <c r="B99" s="240"/>
      <c r="C99" s="241"/>
      <c r="D99" s="241"/>
      <c r="E99" s="241"/>
      <c r="F99" s="241"/>
      <c r="G99" s="241"/>
      <c r="H99" s="241"/>
      <c r="I99" s="241"/>
      <c r="J99" s="241"/>
      <c r="K99" s="241"/>
      <c r="L99" s="241"/>
      <c r="M99" s="241"/>
      <c r="N99" s="241"/>
      <c r="O99" s="241"/>
      <c r="P99" s="241"/>
      <c r="Q99" s="241"/>
      <c r="R99" s="241"/>
      <c r="S99" s="241"/>
      <c r="T99" s="241"/>
      <c r="U99" s="241"/>
      <c r="V99" s="241"/>
      <c r="W99" s="241"/>
      <c r="X99" s="241"/>
    </row>
    <row r="100" spans="1:24" ht="12.75" customHeight="1" x14ac:dyDescent="0.2">
      <c r="A100" s="240" t="s">
        <v>226</v>
      </c>
      <c r="B100" s="240"/>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row>
    <row r="101" spans="1:24" x14ac:dyDescent="0.2">
      <c r="A101" s="240" t="s">
        <v>227</v>
      </c>
      <c r="B101" s="240"/>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row>
    <row r="102" spans="1:24" ht="12.75" customHeight="1" x14ac:dyDescent="0.2">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2">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2">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2">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2"/>
    <row r="107" spans="1:24" x14ac:dyDescent="0.2">
      <c r="A107"/>
      <c r="E107"/>
      <c r="F107"/>
      <c r="H107" s="38"/>
      <c r="L107" s="82" t="s">
        <v>131</v>
      </c>
      <c r="O107" s="82"/>
      <c r="P107" s="38"/>
      <c r="Q107" s="82"/>
    </row>
    <row r="108" spans="1:24" ht="12.75" customHeight="1" x14ac:dyDescent="0.2">
      <c r="A108"/>
      <c r="E108"/>
      <c r="F108"/>
      <c r="G108" s="31"/>
      <c r="H108" s="31"/>
      <c r="L108" s="82" t="s">
        <v>132</v>
      </c>
      <c r="P108" s="31"/>
      <c r="S108" s="208">
        <f ca="1">T38</f>
        <v>0.2223</v>
      </c>
    </row>
    <row r="109" spans="1:24" x14ac:dyDescent="0.2">
      <c r="A109"/>
      <c r="E109"/>
      <c r="F109"/>
      <c r="G109" s="31"/>
      <c r="H109" s="31"/>
      <c r="L109" s="82" t="s">
        <v>133</v>
      </c>
      <c r="P109" s="31"/>
      <c r="S109" s="208" t="str">
        <f ca="1">U38</f>
        <v/>
      </c>
    </row>
    <row r="110" spans="1:24" ht="12.75" customHeight="1" x14ac:dyDescent="0.2">
      <c r="A110"/>
      <c r="E110"/>
      <c r="F110"/>
      <c r="G110" s="31"/>
      <c r="H110" s="31"/>
      <c r="L110" s="82" t="s">
        <v>134</v>
      </c>
      <c r="P110" s="31"/>
      <c r="S110" s="208" t="str">
        <f ca="1">V38</f>
        <v/>
      </c>
    </row>
    <row r="111" spans="1:24" x14ac:dyDescent="0.2">
      <c r="A111"/>
      <c r="E111"/>
      <c r="F111"/>
      <c r="G111" s="31"/>
      <c r="H111" s="31"/>
      <c r="L111" s="82" t="s">
        <v>135</v>
      </c>
      <c r="P111" s="31"/>
      <c r="S111" s="208" t="str">
        <f ca="1">W38</f>
        <v/>
      </c>
    </row>
    <row r="112" spans="1:24" ht="12.75" customHeight="1" x14ac:dyDescent="0.2">
      <c r="A112"/>
      <c r="E112"/>
      <c r="F112"/>
      <c r="G112" s="31"/>
      <c r="H112" s="31"/>
      <c r="L112" s="82" t="s">
        <v>136</v>
      </c>
      <c r="P112" s="31"/>
      <c r="S112" s="208" t="str">
        <f ca="1">X38</f>
        <v/>
      </c>
    </row>
    <row r="113" spans="1:16" x14ac:dyDescent="0.2">
      <c r="A113"/>
      <c r="H113" s="38"/>
      <c r="L113" s="82" t="s">
        <v>66</v>
      </c>
    </row>
    <row r="114" spans="1:16" ht="12.75" customHeight="1" x14ac:dyDescent="0.2">
      <c r="A114"/>
      <c r="H114" s="38"/>
      <c r="L114" s="82" t="s">
        <v>67</v>
      </c>
    </row>
    <row r="115" spans="1:16" x14ac:dyDescent="0.2">
      <c r="A115"/>
      <c r="H115" s="38"/>
      <c r="L115" s="82" t="s">
        <v>68</v>
      </c>
      <c r="P115" s="1" t="s">
        <v>112</v>
      </c>
    </row>
    <row r="116" spans="1:16" x14ac:dyDescent="0.2">
      <c r="A116"/>
      <c r="H116" s="38"/>
      <c r="L116" s="82" t="s">
        <v>69</v>
      </c>
      <c r="P116" s="1" t="s">
        <v>113</v>
      </c>
    </row>
    <row r="117" spans="1:16" x14ac:dyDescent="0.2">
      <c r="A117"/>
      <c r="L117" s="82" t="s">
        <v>70</v>
      </c>
      <c r="P117" s="1" t="s">
        <v>114</v>
      </c>
    </row>
    <row r="118" spans="1:16" x14ac:dyDescent="0.2">
      <c r="A118"/>
      <c r="L118" s="82" t="s">
        <v>71</v>
      </c>
      <c r="P118" s="1" t="s">
        <v>94</v>
      </c>
    </row>
    <row r="119" spans="1:16" x14ac:dyDescent="0.2">
      <c r="A119"/>
      <c r="L119" s="82" t="s">
        <v>72</v>
      </c>
      <c r="P119" s="1" t="s">
        <v>95</v>
      </c>
    </row>
    <row r="120" spans="1:16" x14ac:dyDescent="0.2">
      <c r="A120"/>
      <c r="L120" s="82" t="s">
        <v>73</v>
      </c>
      <c r="P120" s="1" t="s">
        <v>96</v>
      </c>
    </row>
    <row r="121" spans="1:16" x14ac:dyDescent="0.2">
      <c r="A121"/>
      <c r="L121" s="82" t="s">
        <v>74</v>
      </c>
    </row>
    <row r="122" spans="1:16" x14ac:dyDescent="0.2">
      <c r="A122"/>
      <c r="L122" s="82" t="s">
        <v>75</v>
      </c>
      <c r="P122" s="94" t="s">
        <v>97</v>
      </c>
    </row>
    <row r="123" spans="1:16" x14ac:dyDescent="0.2">
      <c r="A123"/>
      <c r="L123" s="82" t="s">
        <v>76</v>
      </c>
      <c r="P123" s="94" t="s">
        <v>98</v>
      </c>
    </row>
    <row r="124" spans="1:16" x14ac:dyDescent="0.2">
      <c r="A124"/>
      <c r="L124" s="82" t="s">
        <v>77</v>
      </c>
    </row>
    <row r="125" spans="1:16" x14ac:dyDescent="0.2">
      <c r="A125"/>
      <c r="L125" s="82" t="s">
        <v>78</v>
      </c>
    </row>
    <row r="126" spans="1:16" x14ac:dyDescent="0.2">
      <c r="A126"/>
      <c r="L126" s="82" t="s">
        <v>79</v>
      </c>
    </row>
    <row r="127" spans="1:16" x14ac:dyDescent="0.2">
      <c r="A127"/>
      <c r="L127" s="82" t="s">
        <v>80</v>
      </c>
    </row>
    <row r="128" spans="1:16" x14ac:dyDescent="0.2">
      <c r="A128"/>
      <c r="L128" s="82" t="s">
        <v>81</v>
      </c>
    </row>
    <row r="129" spans="1:12" x14ac:dyDescent="0.2">
      <c r="A129"/>
      <c r="L129" s="82" t="s">
        <v>82</v>
      </c>
    </row>
    <row r="130" spans="1:12" x14ac:dyDescent="0.2">
      <c r="A130"/>
      <c r="L130" s="82" t="s">
        <v>83</v>
      </c>
    </row>
    <row r="131" spans="1:12" x14ac:dyDescent="0.2">
      <c r="A131"/>
      <c r="L131" s="82" t="s">
        <v>84</v>
      </c>
    </row>
    <row r="132" spans="1:12" x14ac:dyDescent="0.2">
      <c r="A132"/>
      <c r="L132" s="82" t="s">
        <v>65</v>
      </c>
    </row>
    <row r="133" spans="1:12" x14ac:dyDescent="0.2">
      <c r="A133"/>
      <c r="L133" s="82" t="s">
        <v>85</v>
      </c>
    </row>
    <row r="134" spans="1:12" x14ac:dyDescent="0.2">
      <c r="A134"/>
      <c r="L134" s="82" t="s">
        <v>86</v>
      </c>
    </row>
    <row r="135" spans="1:12" x14ac:dyDescent="0.2">
      <c r="A135"/>
    </row>
    <row r="136" spans="1:12" x14ac:dyDescent="0.2">
      <c r="A136"/>
    </row>
    <row r="137" spans="1:12" x14ac:dyDescent="0.2">
      <c r="A137"/>
    </row>
    <row r="138" spans="1:12" x14ac:dyDescent="0.2">
      <c r="A138"/>
    </row>
    <row r="139" spans="1:12" x14ac:dyDescent="0.2">
      <c r="A139"/>
    </row>
    <row r="140" spans="1:12" x14ac:dyDescent="0.2">
      <c r="A140"/>
    </row>
    <row r="141" spans="1:12" x14ac:dyDescent="0.2">
      <c r="A141"/>
    </row>
    <row r="142" spans="1:12" x14ac:dyDescent="0.2">
      <c r="A142"/>
    </row>
    <row r="143" spans="1:12" x14ac:dyDescent="0.2">
      <c r="A143"/>
    </row>
    <row r="144" spans="1:12"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219" spans="1:24" ht="12.75" customHeight="1" x14ac:dyDescent="0.2"/>
    <row r="220" spans="1:24" ht="12.75" customHeight="1" x14ac:dyDescent="0.2">
      <c r="A220" s="246" t="str">
        <f>A28</f>
        <v>Nº OPERAÇÃO</v>
      </c>
      <c r="B220" s="248"/>
      <c r="C220" s="246" t="str">
        <f>C28</f>
        <v>GESTOR</v>
      </c>
      <c r="D220" s="247"/>
      <c r="E220" s="248"/>
      <c r="F220" s="246" t="str">
        <f>F28</f>
        <v>PROGRAMA</v>
      </c>
      <c r="G220" s="247"/>
      <c r="H220" s="247"/>
      <c r="I220" s="248"/>
      <c r="J220" s="246" t="str">
        <f>J28</f>
        <v>AÇÃO / MODALIDADE</v>
      </c>
      <c r="K220" s="247"/>
      <c r="L220" s="247"/>
      <c r="M220" s="247"/>
      <c r="N220" s="247"/>
      <c r="O220" s="248"/>
      <c r="P220" s="246" t="str">
        <f>P28</f>
        <v>OBJETO</v>
      </c>
      <c r="Q220" s="247"/>
      <c r="R220" s="247"/>
      <c r="S220" s="247"/>
      <c r="T220" s="247"/>
      <c r="U220" s="247"/>
      <c r="V220" s="247"/>
      <c r="W220" s="247"/>
      <c r="X220" s="248"/>
    </row>
    <row r="221" spans="1:24" ht="12.75" customHeight="1" x14ac:dyDescent="0.2">
      <c r="A221" s="281" t="str">
        <f>IF(A29="","",A29)</f>
        <v>-</v>
      </c>
      <c r="B221" s="283"/>
      <c r="C221" s="281" t="str">
        <f>IF(C29="","",C29)</f>
        <v>-</v>
      </c>
      <c r="D221" s="282"/>
      <c r="E221" s="283"/>
      <c r="F221" s="281" t="str">
        <f>IF(F29="","",F29)</f>
        <v>-</v>
      </c>
      <c r="G221" s="282"/>
      <c r="H221" s="282"/>
      <c r="I221" s="283"/>
      <c r="J221" s="281" t="str">
        <f>IF(J29="","",J29)</f>
        <v>-</v>
      </c>
      <c r="K221" s="282"/>
      <c r="L221" s="282" t="e">
        <f>IF(#REF!="","",#REF!)</f>
        <v>#REF!</v>
      </c>
      <c r="M221" s="282"/>
      <c r="N221" s="282" t="e">
        <f>IF(#REF!="","",#REF!)</f>
        <v>#REF!</v>
      </c>
      <c r="O221" s="283"/>
      <c r="P221" s="281" t="str">
        <f>IF(P29="","",P29)</f>
        <v>CONSTRUÇÃO DO GINÁSIO DE ESPORTE MUNICIPAL MULTIUSO – 5ª ETAPA – EXECUÇÃO DE PISO E REVESTIMENTOS NOS VESTIÁRIOS E SALAS NO PAVIMENTO TÉRREO, BANHEIROS DO SEGUNDO PAVIMENTO</v>
      </c>
      <c r="Q221" s="282"/>
      <c r="R221" s="282"/>
      <c r="S221" s="282"/>
      <c r="T221" s="282"/>
      <c r="U221" s="282"/>
      <c r="V221" s="282"/>
      <c r="W221" s="282"/>
      <c r="X221" s="283"/>
    </row>
    <row r="222" spans="1:24" ht="6"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x14ac:dyDescent="0.2">
      <c r="A223" s="246" t="str">
        <f>A31</f>
        <v>PROPONENTE / TOMADOR</v>
      </c>
      <c r="B223" s="247"/>
      <c r="C223" s="247"/>
      <c r="D223" s="247"/>
      <c r="E223" s="247"/>
      <c r="F223" s="247"/>
      <c r="G223" s="246" t="str">
        <f>G31</f>
        <v>MUNICÍPIO / UF</v>
      </c>
      <c r="H223" s="247"/>
      <c r="I223" s="247"/>
      <c r="J223" s="248"/>
      <c r="K223" s="246" t="str">
        <f>K31</f>
        <v>LOCALIDADE / ENDEREÇO</v>
      </c>
      <c r="L223" s="247"/>
      <c r="M223" s="247"/>
      <c r="N223" s="247"/>
      <c r="O223" s="247"/>
      <c r="P223" s="248"/>
      <c r="Q223" s="246" t="str">
        <f>Q31</f>
        <v>APELIDO DO EMPREENDIMENTO</v>
      </c>
      <c r="R223" s="247"/>
      <c r="S223" s="247"/>
      <c r="T223" s="247"/>
      <c r="U223" s="247"/>
      <c r="V223" s="247"/>
      <c r="W223" s="247"/>
      <c r="X223" s="248"/>
    </row>
    <row r="224" spans="1:24" ht="12.75" customHeight="1" x14ac:dyDescent="0.2">
      <c r="A224" s="279" t="str">
        <f>IF(A32="","",A32)</f>
        <v>MUNICÍPIO DE GUAPORÉ/RS</v>
      </c>
      <c r="B224" s="280"/>
      <c r="C224" s="280"/>
      <c r="D224" s="280"/>
      <c r="E224" s="280"/>
      <c r="F224" s="280"/>
      <c r="G224" s="281" t="str">
        <f>IF(G32="","",G32)</f>
        <v>GUAPORÉ/RS</v>
      </c>
      <c r="H224" s="282" t="str">
        <f>IF(I32="","",I32)</f>
        <v/>
      </c>
      <c r="I224" s="282"/>
      <c r="J224" s="283" t="e">
        <f>IF(#REF!="","",#REF!)</f>
        <v>#REF!</v>
      </c>
      <c r="K224" s="281" t="str">
        <f>IF(K32="","",K32)</f>
        <v>RUA DO NASCENTE, 1350</v>
      </c>
      <c r="L224" s="282"/>
      <c r="M224" s="282"/>
      <c r="N224" s="282"/>
      <c r="O224" s="282"/>
      <c r="P224" s="283"/>
      <c r="Q224" s="281" t="str">
        <f>IF(Q32="","",Q32)</f>
        <v>GINÁSIO DE ESPORTE MUNICIPAL MULTIUSO – 5ª ETAPA</v>
      </c>
      <c r="R224" s="282"/>
      <c r="S224" s="282"/>
      <c r="T224" s="282"/>
      <c r="U224" s="282"/>
      <c r="V224" s="282"/>
      <c r="W224" s="282"/>
      <c r="X224" s="283"/>
    </row>
    <row r="225" spans="1:24" ht="6"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x14ac:dyDescent="0.2">
      <c r="A226" s="246" t="str">
        <f>A37</f>
        <v>DATA BASE</v>
      </c>
      <c r="B226" s="248"/>
      <c r="C226" s="135" t="str">
        <f>C37</f>
        <v>DESON.</v>
      </c>
      <c r="D226" s="246" t="str">
        <f>D37</f>
        <v>LOCALIDADE DO SINAPI</v>
      </c>
      <c r="E226" s="247"/>
      <c r="F226" s="248"/>
      <c r="G226" s="246" t="str">
        <f>G37</f>
        <v>DESCRIÇÃO DO LOTE</v>
      </c>
      <c r="H226" s="247"/>
      <c r="I226" s="247"/>
      <c r="J226" s="247"/>
      <c r="K226" s="247"/>
      <c r="L226" s="247"/>
      <c r="M226" s="247"/>
      <c r="N226" s="247"/>
      <c r="O226" s="247"/>
      <c r="P226" s="247"/>
      <c r="Q226" s="247"/>
      <c r="R226" s="247"/>
      <c r="S226" s="248"/>
      <c r="T226" s="136" t="str">
        <f>T37</f>
        <v>BDI 1</v>
      </c>
      <c r="U226" s="136" t="str">
        <f>U37</f>
        <v>BDI 2</v>
      </c>
      <c r="V226" s="136" t="str">
        <f>V37</f>
        <v>BDI 3</v>
      </c>
      <c r="W226" s="136" t="str">
        <f>W37</f>
        <v>BDI 4</v>
      </c>
      <c r="X226" s="136" t="str">
        <f>X37</f>
        <v>BDI 5</v>
      </c>
    </row>
    <row r="227" spans="1:24" ht="12.75" customHeight="1" x14ac:dyDescent="0.2">
      <c r="A227" s="286">
        <f>IF(A38="","",A38)</f>
        <v>43922</v>
      </c>
      <c r="B227" s="287"/>
      <c r="C227" s="137" t="str">
        <f t="shared" ref="C227:X227" si="0">IF(C38="","",C38)</f>
        <v>Não</v>
      </c>
      <c r="D227" s="288" t="str">
        <f t="shared" si="0"/>
        <v>Porto Alegre / RS</v>
      </c>
      <c r="E227" s="289" t="str">
        <f t="shared" si="0"/>
        <v/>
      </c>
      <c r="F227" s="290" t="str">
        <f t="shared" si="0"/>
        <v/>
      </c>
      <c r="G227" s="288" t="str">
        <f t="shared" si="0"/>
        <v>GINÁSIO DE ESPORTE MUNICIPAL MULTIUSO – 5ª ETAPA</v>
      </c>
      <c r="H227" s="289" t="str">
        <f t="shared" si="0"/>
        <v/>
      </c>
      <c r="I227" s="289" t="str">
        <f t="shared" si="0"/>
        <v/>
      </c>
      <c r="J227" s="289" t="str">
        <f t="shared" si="0"/>
        <v/>
      </c>
      <c r="K227" s="289" t="str">
        <f t="shared" si="0"/>
        <v/>
      </c>
      <c r="L227" s="289" t="str">
        <f t="shared" si="0"/>
        <v/>
      </c>
      <c r="M227" s="289" t="str">
        <f t="shared" si="0"/>
        <v/>
      </c>
      <c r="N227" s="289" t="str">
        <f t="shared" si="0"/>
        <v/>
      </c>
      <c r="O227" s="289" t="str">
        <f t="shared" si="0"/>
        <v/>
      </c>
      <c r="P227" s="289" t="str">
        <f t="shared" si="0"/>
        <v/>
      </c>
      <c r="Q227" s="289" t="str">
        <f t="shared" si="0"/>
        <v/>
      </c>
      <c r="R227" s="289" t="str">
        <f t="shared" si="0"/>
        <v/>
      </c>
      <c r="S227" s="290" t="str">
        <f t="shared" si="0"/>
        <v/>
      </c>
      <c r="T227" s="139">
        <f t="shared" ca="1" si="0"/>
        <v>0.2223</v>
      </c>
      <c r="U227" s="96" t="str">
        <f t="shared" ca="1" si="0"/>
        <v/>
      </c>
      <c r="V227" s="96" t="str">
        <f t="shared" ca="1" si="0"/>
        <v/>
      </c>
      <c r="W227" s="96" t="str">
        <f t="shared" ca="1" si="0"/>
        <v/>
      </c>
      <c r="X227" s="96" t="str">
        <f t="shared" ca="1" si="0"/>
        <v/>
      </c>
    </row>
    <row r="228" spans="1:24" ht="6" hidden="1"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hidden="1" customHeight="1" x14ac:dyDescent="0.2">
      <c r="A229" s="246" t="s">
        <v>87</v>
      </c>
      <c r="B229" s="248"/>
      <c r="C229" s="246" t="s">
        <v>163</v>
      </c>
      <c r="D229" s="247"/>
      <c r="E229" s="247"/>
      <c r="F229" s="247"/>
      <c r="G229" s="247"/>
      <c r="H229" s="246" t="s">
        <v>16</v>
      </c>
      <c r="I229" s="247"/>
      <c r="J229" s="134" t="s">
        <v>91</v>
      </c>
      <c r="K229" s="246" t="s">
        <v>88</v>
      </c>
      <c r="L229" s="247"/>
      <c r="M229" s="248"/>
      <c r="N229" s="134" t="s">
        <v>92</v>
      </c>
      <c r="O229" s="246" t="s">
        <v>93</v>
      </c>
      <c r="P229" s="247"/>
      <c r="Q229" s="247"/>
      <c r="R229" s="247"/>
      <c r="S229" s="247"/>
      <c r="T229" s="248"/>
      <c r="U229" s="284" t="s">
        <v>89</v>
      </c>
      <c r="V229" s="285"/>
      <c r="W229" s="284" t="s">
        <v>90</v>
      </c>
      <c r="X229" s="285"/>
    </row>
    <row r="230" spans="1:24" s="21" customFormat="1" ht="12.75" hidden="1" customHeight="1" x14ac:dyDescent="0.2">
      <c r="A230" s="288" t="str">
        <f>IF(A43="","",A43)</f>
        <v/>
      </c>
      <c r="B230" s="290"/>
      <c r="C230" s="288" t="str">
        <f>IF(C43="","",C43)</f>
        <v/>
      </c>
      <c r="D230" s="289"/>
      <c r="E230" s="289" t="str">
        <f>IF(E43="","",E43)</f>
        <v/>
      </c>
      <c r="F230" s="289"/>
      <c r="G230" s="289" t="str">
        <f>IF(G43="","",G43)</f>
        <v/>
      </c>
      <c r="H230" s="304" t="str">
        <f>IF(H43="","",H43)</f>
        <v/>
      </c>
      <c r="I230" s="305" t="str">
        <f>IF(I43="","",I43)</f>
        <v/>
      </c>
      <c r="J230" s="138" t="str">
        <f>IF(J43="","",J43)</f>
        <v/>
      </c>
      <c r="K230" s="296" t="str">
        <f>IF(K43="","",K43)</f>
        <v/>
      </c>
      <c r="L230" s="298"/>
      <c r="M230" s="299" t="str">
        <f>IF(M43="","",M43)</f>
        <v/>
      </c>
      <c r="N230" s="140" t="str">
        <f>IF(N43="","",N43)</f>
        <v/>
      </c>
      <c r="O230" s="296" t="str">
        <f>IF(O43="","",O43)</f>
        <v/>
      </c>
      <c r="P230" s="297"/>
      <c r="Q230" s="297" t="str">
        <f>IF(Q43="","",Q43)</f>
        <v/>
      </c>
      <c r="R230" s="298"/>
      <c r="S230" s="298" t="str">
        <f>IF(S43="","",S43)</f>
        <v/>
      </c>
      <c r="T230" s="299"/>
      <c r="U230" s="302" t="str">
        <f>IF(U43="","",U43)</f>
        <v/>
      </c>
      <c r="V230" s="303"/>
      <c r="W230" s="300" t="str">
        <f>IF(W43="","",W43)</f>
        <v/>
      </c>
      <c r="X230" s="301"/>
    </row>
    <row r="231" spans="1:24" x14ac:dyDescent="0.2">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24" ht="6" customHeight="1" x14ac:dyDescent="0.2">
      <c r="A232" s="1"/>
      <c r="B232" s="1"/>
      <c r="F232" s="1"/>
      <c r="G232" s="1"/>
      <c r="H232" s="1"/>
    </row>
    <row r="233" spans="1:24" x14ac:dyDescent="0.2">
      <c r="A233" s="1"/>
      <c r="B233" s="1"/>
      <c r="F233" s="1"/>
      <c r="G233" s="1"/>
      <c r="H233" s="1"/>
    </row>
    <row r="234" spans="1:24" x14ac:dyDescent="0.2">
      <c r="A234" s="1"/>
      <c r="B234" s="1"/>
      <c r="F234" s="1"/>
      <c r="G234" s="1"/>
      <c r="H234" s="1"/>
    </row>
    <row r="235" spans="1:24" x14ac:dyDescent="0.2">
      <c r="A235" s="1"/>
      <c r="B235" s="1"/>
      <c r="F235" s="1"/>
      <c r="G235" s="1"/>
      <c r="H235" s="1"/>
    </row>
    <row r="236" spans="1:24" ht="12.75" hidden="1" customHeight="1" x14ac:dyDescent="0.2">
      <c r="A236" s="1"/>
      <c r="B236" s="1"/>
      <c r="F236" s="1"/>
      <c r="G236" s="1"/>
      <c r="H236" s="1"/>
    </row>
    <row r="237" spans="1:24" ht="6" hidden="1" customHeight="1" x14ac:dyDescent="0.2">
      <c r="A237" s="1"/>
      <c r="B237" s="1"/>
      <c r="F237" s="1"/>
      <c r="G237" s="1"/>
      <c r="H237" s="1"/>
    </row>
    <row r="238" spans="1:24" ht="12.75" hidden="1" customHeight="1" x14ac:dyDescent="0.2">
      <c r="A238" s="1"/>
      <c r="B238" s="1"/>
      <c r="F238" s="1"/>
      <c r="G238" s="1"/>
      <c r="H238" s="1"/>
    </row>
    <row r="239" spans="1:24" ht="12.75" hidden="1" customHeight="1" x14ac:dyDescent="0.2">
      <c r="A239" s="1"/>
      <c r="B239" s="1"/>
      <c r="F239" s="1"/>
      <c r="G239" s="1"/>
      <c r="H239" s="1"/>
    </row>
    <row r="240" spans="1:24" ht="6" hidden="1" customHeight="1" x14ac:dyDescent="0.2">
      <c r="A240" s="1"/>
      <c r="B240" s="1"/>
      <c r="F240" s="1"/>
      <c r="G240" s="1"/>
      <c r="H240" s="1"/>
    </row>
    <row r="241" spans="1:8" ht="12.75" hidden="1" customHeight="1" x14ac:dyDescent="0.2">
      <c r="A241" s="1"/>
      <c r="B241" s="1"/>
      <c r="F241" s="1"/>
      <c r="G241" s="1"/>
      <c r="H241" s="1"/>
    </row>
    <row r="242" spans="1:8" ht="12.75" hidden="1" customHeight="1" x14ac:dyDescent="0.2">
      <c r="A242" s="1"/>
      <c r="B242" s="1"/>
      <c r="F242" s="1"/>
      <c r="G242" s="1"/>
      <c r="H242" s="1"/>
    </row>
    <row r="243" spans="1:8" ht="12.75" hidden="1" customHeight="1" x14ac:dyDescent="0.2">
      <c r="A243" s="1"/>
      <c r="B243" s="1"/>
      <c r="F243" s="1"/>
      <c r="G243" s="1"/>
      <c r="H243" s="1"/>
    </row>
    <row r="244" spans="1:8" ht="12.75" customHeight="1" x14ac:dyDescent="0.2">
      <c r="A244" s="1"/>
      <c r="B244" s="1"/>
      <c r="F244" s="1"/>
      <c r="G244" s="1"/>
      <c r="H244" s="1"/>
    </row>
    <row r="245" spans="1:8" ht="6" customHeight="1" x14ac:dyDescent="0.2">
      <c r="A245" s="1"/>
      <c r="B245" s="1"/>
      <c r="F245" s="1"/>
      <c r="G245" s="1"/>
      <c r="H245" s="1"/>
    </row>
    <row r="246" spans="1:8" ht="12.75" customHeight="1" x14ac:dyDescent="0.2">
      <c r="A246" s="1"/>
      <c r="B246" s="1"/>
      <c r="F246" s="1"/>
      <c r="G246" s="1"/>
      <c r="H246" s="1"/>
    </row>
    <row r="247" spans="1:8" ht="12.75" customHeight="1" x14ac:dyDescent="0.2">
      <c r="A247" s="1"/>
      <c r="B247" s="1"/>
      <c r="F247" s="1"/>
      <c r="G247" s="1"/>
      <c r="H247" s="1"/>
    </row>
    <row r="248" spans="1:8" ht="12.75" customHeight="1" x14ac:dyDescent="0.2">
      <c r="A248" s="1"/>
      <c r="B248" s="1"/>
      <c r="F248" s="1"/>
      <c r="G248" s="1"/>
      <c r="H248" s="1"/>
    </row>
    <row r="249" spans="1:8" ht="12.75" customHeight="1" x14ac:dyDescent="0.2">
      <c r="A249" s="1"/>
      <c r="B249" s="1"/>
      <c r="F249" s="1"/>
      <c r="G249" s="1"/>
      <c r="H249" s="1"/>
    </row>
    <row r="250" spans="1:8" ht="6" customHeight="1" x14ac:dyDescent="0.2">
      <c r="A250" s="1"/>
      <c r="B250" s="1"/>
      <c r="F250" s="1"/>
      <c r="G250" s="1"/>
      <c r="H250" s="1"/>
    </row>
    <row r="251" spans="1:8" x14ac:dyDescent="0.2">
      <c r="A251" s="1"/>
      <c r="B251" s="1"/>
      <c r="F251" s="1"/>
      <c r="G251" s="1"/>
      <c r="H251" s="1"/>
    </row>
    <row r="252" spans="1:8" x14ac:dyDescent="0.2">
      <c r="A252" s="1"/>
      <c r="B252" s="1"/>
      <c r="F252" s="1"/>
      <c r="G252" s="1"/>
      <c r="H252" s="1"/>
    </row>
    <row r="253" spans="1:8" x14ac:dyDescent="0.2">
      <c r="A253" s="1"/>
      <c r="B253" s="1"/>
      <c r="F253" s="1"/>
      <c r="G253" s="1"/>
      <c r="H253" s="1"/>
    </row>
    <row r="254" spans="1:8" x14ac:dyDescent="0.2">
      <c r="A254" s="1"/>
      <c r="B254" s="1"/>
      <c r="F254" s="1"/>
      <c r="G254" s="1"/>
      <c r="H254" s="1"/>
    </row>
    <row r="255" spans="1:8" x14ac:dyDescent="0.2">
      <c r="A255" s="1"/>
      <c r="B255" s="1"/>
      <c r="F255" s="1"/>
      <c r="G255" s="1"/>
      <c r="H255" s="1"/>
    </row>
    <row r="256" spans="1:8" x14ac:dyDescent="0.2">
      <c r="A256" s="1"/>
      <c r="B256" s="1"/>
      <c r="F256" s="1"/>
      <c r="G256" s="1"/>
      <c r="H256" s="1"/>
    </row>
    <row r="257" spans="1:8" x14ac:dyDescent="0.2">
      <c r="A257" s="1"/>
      <c r="B257" s="1"/>
      <c r="F257" s="1"/>
      <c r="G257" s="1"/>
      <c r="H257" s="1"/>
    </row>
  </sheetData>
  <sheetProtection password="C95B"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phoneticPr fontId="25" type="noConversion"/>
  <conditionalFormatting sqref="B54:E55 B56 B57:E57">
    <cfRule type="expression" dxfId="815" priority="42" stopIfTrue="1">
      <formula>$B54&lt;&gt;""</formula>
    </cfRule>
  </conditionalFormatting>
  <conditionalFormatting sqref="A48 H54:K54 H55:H56 H57:K57 A29:C29 J29 F29 A32 P29 G32 K32">
    <cfRule type="expression" dxfId="814" priority="48" stopIfTrue="1">
      <formula>A29&lt;&gt;""</formula>
    </cfRule>
  </conditionalFormatting>
  <conditionalFormatting sqref="G53:K54 G55:H56 G57:K57">
    <cfRule type="expression" dxfId="813" priority="43" stopIfTrue="1">
      <formula>$K$52&lt;&gt;"SIM"</formula>
    </cfRule>
  </conditionalFormatting>
  <conditionalFormatting sqref="A40:X43">
    <cfRule type="expression" dxfId="812" priority="56" stopIfTrue="1">
      <formula>OR(TipoOrçamento="BASE",TipoOrçamento="REPROGRAMADONPL")</formula>
    </cfRule>
    <cfRule type="expression" dxfId="811" priority="57" stopIfTrue="1">
      <formula>A40&lt;&gt;""</formula>
    </cfRule>
  </conditionalFormatting>
  <conditionalFormatting sqref="A35:X38">
    <cfRule type="expression" dxfId="810" priority="58" stopIfTrue="1">
      <formula>OR(TipoOrçamento="LICITADO",TipoOrçamento="REPROGRAMADOAC")</formula>
    </cfRule>
    <cfRule type="expression" dxfId="809" priority="59" stopIfTrue="1">
      <formula>A35&lt;&gt;""</formula>
    </cfRule>
  </conditionalFormatting>
  <conditionalFormatting sqref="Q32">
    <cfRule type="expression" dxfId="808" priority="1" stopIfTrue="1">
      <formula>Q32&lt;&gt;""</formula>
    </cfRule>
  </conditionalFormatting>
  <dataValidations count="7">
    <dataValidation type="list" allowBlank="1" showInputMessage="1" showErrorMessage="1" sqref="C227 J43 C38" xr:uid="{00000000-0002-0000-0000-000000000000}">
      <formula1>"Sim,Não"</formula1>
    </dataValidation>
    <dataValidation type="list" allowBlank="1" showInputMessage="1" showErrorMessage="1" sqref="K52" xr:uid="{00000000-0002-0000-0000-000001000000}">
      <formula1>"SIM,NÃO"</formula1>
    </dataValidation>
    <dataValidation type="list" allowBlank="1" showInputMessage="1" showErrorMessage="1" sqref="D38:F38" xr:uid="{00000000-0002-0000-0000-000002000000}">
      <formula1>Dados.Lista.Localidade</formula1>
    </dataValidation>
    <dataValidation type="list" allowBlank="1" showInputMessage="1" showErrorMessage="1" sqref="K43:M43" xr:uid="{00000000-0002-0000-0000-000003000000}">
      <formula1>Dados.Lista.RegimeExecução</formula1>
    </dataValidation>
    <dataValidation type="list" allowBlank="1" showInputMessage="1" showErrorMessage="1" sqref="N43" xr:uid="{00000000-0002-0000-0000-000004000000}">
      <formula1>Dados.Lista.Acompanhamento</formula1>
    </dataValidation>
    <dataValidation type="date" operator="greaterThan" allowBlank="1" showInputMessage="1" showErrorMessage="1" errorTitle="Erro de valor" error="Digite somente datas." sqref="A38:B38 H43:I43 A48:C48" xr:uid="{00000000-0002-0000-0000-000005000000}">
      <formula1>36526</formula1>
    </dataValidation>
    <dataValidation allowBlank="1" showInputMessage="1" showErrorMessage="1" promptTitle="Nº OPERAÇÃO:" prompt="nº do Contrato de Repasse ou Termo de Compromisso, firmado com a CAIXA._x000a_Formato 0.000.000-00/0000." sqref="A29:B29" xr:uid="{00000000-0002-0000-0000-000006000000}"/>
  </dataValidations>
  <pageMargins left="0.78740157480314998" right="0.78740157480314998" top="0.78740157480314998" bottom="0.78740157480314998" header="5.7086614173228396" footer="0.59055118110236204"/>
  <pageSetup paperSize="9" scale="41" orientation="portrait" horizontalDpi="4294967295" verticalDpi="4294967295" r:id="rId1"/>
  <headerFooter alignWithMargins="0">
    <oddHeader>&amp;L_</oddHeader>
    <oddFooter>&amp;R&amp;P&amp;L27.476 v008   micro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202" r:id="rId4" name="OptionPLQ-ON">
              <controlPr defaultSize="0" print="0" autoFill="0" autoLine="0" autoPict="0" macro="[0]!ShowPLQ" altText="Parcela 1">
                <anchor moveWithCells="1">
                  <from>
                    <xdr:col>0</xdr:col>
                    <xdr:colOff>381000</xdr:colOff>
                    <xdr:row>18</xdr:row>
                    <xdr:rowOff>85725</xdr:rowOff>
                  </from>
                  <to>
                    <xdr:col>5</xdr:col>
                    <xdr:colOff>228600</xdr:colOff>
                    <xdr:row>20</xdr:row>
                    <xdr:rowOff>47625</xdr:rowOff>
                  </to>
                </anchor>
              </controlPr>
            </control>
          </mc:Choice>
        </mc:AlternateContent>
        <mc:AlternateContent xmlns:mc="http://schemas.openxmlformats.org/markup-compatibility/2006">
          <mc:Choice Requires="x14">
            <control shapeId="34203" r:id="rId5" name="OptionPLQ-OFF">
              <controlPr defaultSize="0" print="0" autoFill="0" autoLine="0" autoPict="0" macro="[0]!HidePLQ" altText="Parcela 1">
                <anchor moveWithCells="1">
                  <from>
                    <xdr:col>5</xdr:col>
                    <xdr:colOff>228600</xdr:colOff>
                    <xdr:row>18</xdr:row>
                    <xdr:rowOff>85725</xdr:rowOff>
                  </from>
                  <to>
                    <xdr:col>11</xdr:col>
                    <xdr:colOff>142875</xdr:colOff>
                    <xdr:row>20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topLeftCell="I1" zoomScaleNormal="100" zoomScaleSheetLayoutView="100" zoomScalePageLayoutView="70" workbookViewId="0">
      <selection activeCell="T33" sqref="T33"/>
    </sheetView>
  </sheetViews>
  <sheetFormatPr defaultColWidth="0" defaultRowHeight="12.75"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1</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38" t="s">
        <v>150</v>
      </c>
      <c r="J4" s="249"/>
      <c r="K4" s="238" t="s">
        <v>173</v>
      </c>
      <c r="L4" s="239"/>
      <c r="M4" s="239"/>
      <c r="N4" s="239"/>
      <c r="O4" s="239"/>
      <c r="P4" s="239"/>
      <c r="Q4" s="239"/>
      <c r="R4" s="249"/>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41" t="str">
        <f>DADOS!A29</f>
        <v>-</v>
      </c>
      <c r="J5" s="342"/>
      <c r="K5" s="343" t="str">
        <f>DADOS!A32</f>
        <v>MUNICÍPIO DE GUAPORÉ/RS</v>
      </c>
      <c r="L5" s="344"/>
      <c r="M5" s="344"/>
      <c r="N5" s="344"/>
      <c r="O5" s="344"/>
      <c r="P5" s="344"/>
      <c r="Q5" s="344"/>
      <c r="R5" s="345"/>
      <c r="S5" s="57"/>
    </row>
    <row r="6" spans="1:29" ht="6" customHeight="1" x14ac:dyDescent="0.2">
      <c r="A6" s="52" t="str">
        <f>A5</f>
        <v>Construção e Reforma de Edifícios</v>
      </c>
      <c r="B6" s="54" t="s">
        <v>164</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38" t="s">
        <v>0</v>
      </c>
      <c r="J7" s="239"/>
      <c r="K7" s="239"/>
      <c r="L7" s="239"/>
      <c r="M7" s="239"/>
      <c r="N7" s="239"/>
      <c r="O7" s="239"/>
      <c r="P7" s="239"/>
      <c r="Q7" s="239"/>
      <c r="R7" s="249"/>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46" t="str">
        <f>DADOS!P29</f>
        <v>CONSTRUÇÃO DO GINÁSIO DE ESPORTE MUNICIPAL MULTIUSO – 5ª ETAPA – EXECUÇÃO DE PISO E REVESTIMENTOS NOS VESTIÁRIOS E SALAS NO PAVIMENTO TÉRREO, BANHEIROS DO SEGUNDO PAVIMENTO</v>
      </c>
      <c r="J8" s="346"/>
      <c r="K8" s="346"/>
      <c r="L8" s="346"/>
      <c r="M8" s="346"/>
      <c r="N8" s="346"/>
      <c r="O8" s="346"/>
      <c r="P8" s="346"/>
      <c r="Q8" s="346"/>
      <c r="R8" s="346"/>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38" t="s">
        <v>35</v>
      </c>
      <c r="J10" s="239"/>
      <c r="K10" s="239"/>
      <c r="L10" s="239"/>
      <c r="M10" s="239"/>
      <c r="N10" s="239"/>
      <c r="O10" s="239"/>
      <c r="P10" s="239"/>
      <c r="Q10" s="238" t="s">
        <v>13</v>
      </c>
      <c r="R10" s="249"/>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36" t="s">
        <v>28</v>
      </c>
      <c r="J11" s="337"/>
      <c r="K11" s="337"/>
      <c r="L11" s="337"/>
      <c r="M11" s="337"/>
      <c r="N11" s="337"/>
      <c r="O11" s="337"/>
      <c r="P11" s="338"/>
      <c r="Q11" s="339" t="str">
        <f>DADOS!$C$38</f>
        <v>Não</v>
      </c>
      <c r="R11" s="340"/>
    </row>
    <row r="12" spans="1:29" x14ac:dyDescent="0.2">
      <c r="A12" s="52" t="s">
        <v>34</v>
      </c>
      <c r="B12" s="54" t="s">
        <v>164</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51" t="s">
        <v>36</v>
      </c>
      <c r="J13" s="351"/>
      <c r="K13" s="351"/>
      <c r="L13" s="351"/>
      <c r="M13" s="351"/>
      <c r="N13" s="351"/>
      <c r="O13" s="351"/>
      <c r="P13" s="351"/>
      <c r="Q13" s="348">
        <v>1</v>
      </c>
      <c r="R13" s="348"/>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49" t="s">
        <v>38</v>
      </c>
      <c r="J14" s="349"/>
      <c r="K14" s="349"/>
      <c r="L14" s="349"/>
      <c r="M14" s="349"/>
      <c r="N14" s="349"/>
      <c r="O14" s="349"/>
      <c r="P14" s="349"/>
      <c r="Q14" s="348">
        <v>0.02</v>
      </c>
      <c r="R14" s="348"/>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50" t="s">
        <v>39</v>
      </c>
      <c r="J16" s="350"/>
      <c r="K16" s="350"/>
      <c r="L16" s="350"/>
      <c r="M16" s="350" t="s">
        <v>40</v>
      </c>
      <c r="N16" s="353" t="s">
        <v>41</v>
      </c>
      <c r="O16" s="353" t="s">
        <v>42</v>
      </c>
      <c r="P16" s="352" t="s">
        <v>43</v>
      </c>
      <c r="Q16" s="352" t="s">
        <v>44</v>
      </c>
      <c r="R16" s="330" t="s">
        <v>45</v>
      </c>
      <c r="T16" s="327" t="str">
        <f>IF(V27,"Para BDI fora do intervalo estatístico, deve ser apresentado Relatório Técnico Circunstanciado justificando a adoção do percentual de cada parcela do BDI.","")</f>
        <v/>
      </c>
      <c r="U16" s="327"/>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50"/>
      <c r="J17" s="350"/>
      <c r="K17" s="350"/>
      <c r="L17" s="350"/>
      <c r="M17" s="350"/>
      <c r="N17" s="353"/>
      <c r="O17" s="353"/>
      <c r="P17" s="352"/>
      <c r="Q17" s="352"/>
      <c r="R17" s="330"/>
      <c r="T17" s="327"/>
      <c r="U17" s="327"/>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15" t="str">
        <f>IF($I$11=$A$59,"Encargos Sociais incidentes sobre a mão de obra","Administração Central")</f>
        <v>Administração Central</v>
      </c>
      <c r="J18" s="315"/>
      <c r="K18" s="315"/>
      <c r="L18" s="315"/>
      <c r="M18" s="60" t="str">
        <f>IF($I$11=$A$59,"K1","AC")</f>
        <v>AC</v>
      </c>
      <c r="N18" s="61">
        <v>0.04</v>
      </c>
      <c r="O18" s="62" t="s">
        <v>46</v>
      </c>
      <c r="P18" s="63">
        <f>VLOOKUP(CONCATENATE(I$11,"-",M18),$C$2:$G$49,3,FALSE)</f>
        <v>0.03</v>
      </c>
      <c r="Q18" s="63">
        <f>VLOOKUP(CONCATENATE(I$11,"-",M18),$C$2:$G$49,4,FALSE)</f>
        <v>0.04</v>
      </c>
      <c r="R18" s="63">
        <f>VLOOKUP(CONCATENATE(I$11,"-",M18),$C$2:$G$49,5,FALSE)</f>
        <v>5.5E-2</v>
      </c>
      <c r="T18" s="327"/>
      <c r="U18" s="327"/>
      <c r="V18" s="108"/>
      <c r="W18" s="108"/>
      <c r="X18" s="108"/>
      <c r="Y18" s="108"/>
      <c r="Z18" s="108"/>
      <c r="AA18" s="108"/>
      <c r="AB18" s="108"/>
      <c r="AC18" s="108"/>
    </row>
    <row r="19" spans="1:31" ht="26.25" customHeight="1" x14ac:dyDescent="0.2">
      <c r="A19" s="52" t="str">
        <f>A18</f>
        <v>Construção de Redes de Abastecimento de Água, Coleta de Esgoto</v>
      </c>
      <c r="B19" s="54" t="s">
        <v>164</v>
      </c>
      <c r="C19" s="52" t="str">
        <f t="shared" si="0"/>
        <v>Construção de Redes de Abastecimento de Água, Coleta de Esgoto-L</v>
      </c>
      <c r="E19" s="55">
        <v>6.7400000000000002E-2</v>
      </c>
      <c r="F19" s="55">
        <v>8.0399999999999985E-2</v>
      </c>
      <c r="G19" s="55">
        <v>9.4E-2</v>
      </c>
      <c r="I19" s="315" t="str">
        <f>IF($I$11=$A$59,"Administração Central da empresa ou consultoria - overhead","Seguro e Garantia")</f>
        <v>Seguro e Garantia</v>
      </c>
      <c r="J19" s="315"/>
      <c r="K19" s="315"/>
      <c r="L19" s="315"/>
      <c r="M19" s="60" t="str">
        <f>IF($I$11=$A$59,"K2","SG")</f>
        <v>SG</v>
      </c>
      <c r="N19" s="61">
        <v>8.0000000000000002E-3</v>
      </c>
      <c r="O19" s="62" t="s">
        <v>46</v>
      </c>
      <c r="P19" s="63">
        <f>VLOOKUP(CONCATENATE(I$11,"-",M19),$C$2:$G$49,3,FALSE)</f>
        <v>8.0000000000000002E-3</v>
      </c>
      <c r="Q19" s="63">
        <f>VLOOKUP(CONCATENATE(I$11,"-",M19),$C$2:$G$49,4,FALSE)</f>
        <v>8.0000000000000002E-3</v>
      </c>
      <c r="R19" s="63">
        <f>VLOOKUP(CONCATENATE(I$11,"-",M19),$C$2:$G$49,5,FALSE)</f>
        <v>0.01</v>
      </c>
      <c r="T19" s="327"/>
      <c r="U19" s="327"/>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15" t="str">
        <f>IF($I$11=$A$59,"","Risco")</f>
        <v>Risco</v>
      </c>
      <c r="J20" s="315"/>
      <c r="K20" s="315"/>
      <c r="L20" s="315"/>
      <c r="M20" s="60" t="str">
        <f>IF($I$11=$A$59,"","R")</f>
        <v>R</v>
      </c>
      <c r="N20" s="61">
        <v>1.2699999999999999E-2</v>
      </c>
      <c r="O20" s="62" t="s">
        <v>46</v>
      </c>
      <c r="P20" s="63">
        <f>VLOOKUP(CONCATENATE(I$11,"-",M20),$C$2:$G$49,3,FALSE)</f>
        <v>9.7000000000000003E-3</v>
      </c>
      <c r="Q20" s="63">
        <f>VLOOKUP(CONCATENATE(I$11,"-",M20),$C$2:$G$49,4,FALSE)</f>
        <v>1.2699999999999999E-2</v>
      </c>
      <c r="R20" s="63">
        <f>VLOOKUP(CONCATENATE(I$11,"-",M20),$C$2:$G$49,5,FALSE)</f>
        <v>1.2699999999999999E-2</v>
      </c>
      <c r="T20" s="327"/>
      <c r="U20" s="327"/>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15" t="str">
        <f>IF($I$11=$A$59,"","Despesas Financeiras")</f>
        <v>Despesas Financeiras</v>
      </c>
      <c r="J21" s="315"/>
      <c r="K21" s="315"/>
      <c r="L21" s="315"/>
      <c r="M21" s="60" t="str">
        <f>IF($I$11=$A$59,"","DF")</f>
        <v>DF</v>
      </c>
      <c r="N21" s="61">
        <v>1.23E-2</v>
      </c>
      <c r="O21" s="62" t="s">
        <v>46</v>
      </c>
      <c r="P21" s="63">
        <f>VLOOKUP(CONCATENATE(I$11,"-",M21),$C$2:$G$49,3,FALSE)</f>
        <v>5.8999999999999999E-3</v>
      </c>
      <c r="Q21" s="63">
        <f>VLOOKUP(CONCATENATE(I$11,"-",M21),$C$2:$G$49,4,FALSE)</f>
        <v>1.23E-2</v>
      </c>
      <c r="R21" s="63">
        <f>VLOOKUP(CONCATENATE(I$11,"-",M21),$C$2:$G$49,5,FALSE)</f>
        <v>1.3899999999999999E-2</v>
      </c>
      <c r="T21" s="327"/>
      <c r="U21" s="327"/>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15" t="str">
        <f>IF($I$11=$A$59,"Margem bruta da empresa de consultoria","Lucro")</f>
        <v>Lucro</v>
      </c>
      <c r="J22" s="315"/>
      <c r="K22" s="315"/>
      <c r="L22" s="315"/>
      <c r="M22" s="60" t="str">
        <f>IF($I$11=$A$59,"K3","L")</f>
        <v>L</v>
      </c>
      <c r="N22" s="61">
        <v>7.3999999999999996E-2</v>
      </c>
      <c r="O22" s="62" t="s">
        <v>46</v>
      </c>
      <c r="P22" s="63">
        <f>VLOOKUP(CONCATENATE(I$11,"-",M22),$C$2:$G$49,3,FALSE)</f>
        <v>6.1600000000000002E-2</v>
      </c>
      <c r="Q22" s="63">
        <f>VLOOKUP(CONCATENATE(I$11,"-",M22),$C$2:$G$49,4,FALSE)</f>
        <v>7.400000000000001E-2</v>
      </c>
      <c r="R22" s="63">
        <f>VLOOKUP(CONCATENATE(I$11,"-",M22),$C$2:$G$49,5,FALSE)</f>
        <v>8.9600000000000013E-2</v>
      </c>
      <c r="T22" s="327"/>
      <c r="U22" s="327"/>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29" t="s">
        <v>48</v>
      </c>
      <c r="J23" s="329"/>
      <c r="K23" s="329"/>
      <c r="L23" s="329"/>
      <c r="M23" s="60" t="s">
        <v>49</v>
      </c>
      <c r="N23" s="61">
        <v>3.6499999999999998E-2</v>
      </c>
      <c r="O23" s="62" t="s">
        <v>46</v>
      </c>
      <c r="P23" s="63">
        <v>3.6499999999999998E-2</v>
      </c>
      <c r="Q23" s="63">
        <v>3.6499999999999998E-2</v>
      </c>
      <c r="R23" s="63">
        <v>3.6499999999999998E-2</v>
      </c>
      <c r="T23" s="327"/>
      <c r="U23" s="327"/>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15" t="s">
        <v>50</v>
      </c>
      <c r="J24" s="315"/>
      <c r="K24" s="315"/>
      <c r="L24" s="315"/>
      <c r="M24" s="60" t="s">
        <v>51</v>
      </c>
      <c r="N24" s="63">
        <f>IF($I$11&lt;&gt;$A$58,Q14*Q13,0)</f>
        <v>0.02</v>
      </c>
      <c r="O24" s="62" t="s">
        <v>46</v>
      </c>
      <c r="P24" s="63">
        <v>0</v>
      </c>
      <c r="Q24" s="63">
        <v>2.5000000000000001E-2</v>
      </c>
      <c r="R24" s="63">
        <v>0.05</v>
      </c>
      <c r="T24" s="327"/>
      <c r="U24" s="327"/>
    </row>
    <row r="25" spans="1:31" ht="26.25" customHeight="1" x14ac:dyDescent="0.2">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8.3100000000000007E-2</v>
      </c>
      <c r="G25" s="55">
        <v>9.5100000000000004E-2</v>
      </c>
      <c r="I25" s="315" t="s">
        <v>116</v>
      </c>
      <c r="J25" s="315"/>
      <c r="K25" s="315"/>
      <c r="L25" s="315"/>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15" t="s">
        <v>53</v>
      </c>
      <c r="J26" s="315"/>
      <c r="K26" s="315"/>
      <c r="L26" s="315"/>
      <c r="M26" s="65" t="s">
        <v>33</v>
      </c>
      <c r="N26" s="63">
        <f>IF($I$11=$A$58,0,ROUND((((1+N18+N19+N20)*(1+N21)*(1+N22)/(1-(N23+N24)))-1),4))</f>
        <v>0.2223</v>
      </c>
      <c r="O26" s="106" t="str">
        <f>IF(OR($I$11=$A$59,$I$11=$A$58,AND(N26&gt;=P26, N26&lt;=R26)), "OK", "FORA DO INTERVALO")</f>
        <v>OK</v>
      </c>
      <c r="P26" s="63">
        <f>IF($I$11=$A$58,0,VLOOKUP(CONCATENATE($I$11,"-",$M26),$C$2:$G$49,3,FALSE))</f>
        <v>0.2034</v>
      </c>
      <c r="Q26" s="63">
        <f>IF($I$11=$A$58,0,VLOOKUP(CONCATENATE($I$11,"-",$M26),$C$2:$G$49,4,FALSE))</f>
        <v>0.22120000000000001</v>
      </c>
      <c r="R26" s="63">
        <f>IF($I$11=$A$58,0,VLOOKUP(CONCATENATE($I$11,"-",$M26),$C$2:$G$49,5,FALSE))</f>
        <v>0.25</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16" t="s">
        <v>55</v>
      </c>
      <c r="J27" s="316"/>
      <c r="K27" s="316"/>
      <c r="L27" s="316"/>
      <c r="M27" s="66" t="s">
        <v>56</v>
      </c>
      <c r="N27" s="67">
        <f>IF($I$11=$A$58,0,ROUND((((1+N18+N19+N20)*(1+N21)*(1+N22)/(1-(N23+N24+N25)))-1),4))</f>
        <v>0.2223</v>
      </c>
      <c r="O27" s="110" t="str">
        <f>IF(Q11&lt;&gt;"Sim","",O26)</f>
        <v/>
      </c>
      <c r="P27" s="317"/>
      <c r="Q27" s="317"/>
      <c r="R27" s="317"/>
      <c r="T27" s="107"/>
      <c r="V27" s="111" t="b">
        <f>AND(COUNTA(N18:N23)=6,O26&lt;&gt;"ok",NOT(V29))</f>
        <v>0</v>
      </c>
      <c r="W27" s="52" t="s">
        <v>118</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14" t="s">
        <v>117</v>
      </c>
      <c r="K29" s="314"/>
      <c r="L29" s="314"/>
      <c r="M29" s="314"/>
      <c r="N29" s="314"/>
      <c r="O29" s="314"/>
      <c r="P29" s="314"/>
      <c r="Q29" s="314"/>
      <c r="R29" s="314"/>
      <c r="V29" s="111" t="b">
        <v>0</v>
      </c>
      <c r="W29" s="52" t="s">
        <v>119</v>
      </c>
    </row>
    <row r="30" spans="1:31" ht="7.5" customHeight="1" x14ac:dyDescent="0.2">
      <c r="B30" s="54"/>
      <c r="E30" s="55"/>
      <c r="F30" s="55"/>
      <c r="G30" s="55"/>
      <c r="V30" s="111"/>
    </row>
    <row r="31" spans="1:31" ht="18.75" customHeight="1" x14ac:dyDescent="0.2">
      <c r="B31" s="54"/>
      <c r="E31" s="55"/>
      <c r="F31" s="55"/>
      <c r="G31" s="55"/>
      <c r="I31" s="319" t="s">
        <v>61</v>
      </c>
      <c r="J31" s="319"/>
      <c r="K31" s="319"/>
      <c r="L31" s="319"/>
      <c r="M31" s="319"/>
      <c r="N31" s="319"/>
      <c r="O31" s="319"/>
      <c r="P31" s="319"/>
      <c r="Q31" s="319"/>
      <c r="R31" s="319"/>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35" t="str">
        <f>IF(Q11="Sim","BDI.DES =","BDI.PAD =")</f>
        <v>BDI.PAD =</v>
      </c>
      <c r="M32" s="333" t="str">
        <f>IF($I$11=$A$59,"(1+K1+K2)*(1+K3)","(1+AC + S + R + G)*(1 + DF)*(1+L)")</f>
        <v>(1+AC + S + R + G)*(1 + DF)*(1+L)</v>
      </c>
      <c r="N32" s="333"/>
      <c r="O32" s="333"/>
      <c r="P32" s="331" t="s">
        <v>108</v>
      </c>
      <c r="Q32" s="100"/>
      <c r="R32" s="100"/>
    </row>
    <row r="33" spans="1:18" ht="27" customHeight="1" x14ac:dyDescent="0.2">
      <c r="A33" s="52" t="str">
        <f>A32</f>
        <v>Obras Portuárias, Marítimas e Fluviais</v>
      </c>
      <c r="B33" s="54" t="s">
        <v>164</v>
      </c>
      <c r="C33" s="52" t="str">
        <f t="shared" si="0"/>
        <v>Obras Portuárias, Marítimas e Fluviais-L</v>
      </c>
      <c r="E33" s="55">
        <v>7.1399999999999991E-2</v>
      </c>
      <c r="F33" s="55">
        <v>8.4000000000000005E-2</v>
      </c>
      <c r="G33" s="55">
        <v>0.1043</v>
      </c>
      <c r="I33" s="100"/>
      <c r="J33" s="100"/>
      <c r="K33" s="100"/>
      <c r="L33" s="335"/>
      <c r="M33" s="334" t="str">
        <f>IF(Q11="Sim","(1-CP-ISS-CRPB)","(1-CP-ISS)")</f>
        <v>(1-CP-ISS)</v>
      </c>
      <c r="N33" s="334"/>
      <c r="O33" s="334"/>
      <c r="P33" s="332"/>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2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v>
      </c>
      <c r="J35" s="320"/>
      <c r="K35" s="320"/>
      <c r="L35" s="320"/>
      <c r="M35" s="320"/>
      <c r="N35" s="320"/>
      <c r="O35" s="320"/>
      <c r="P35" s="320"/>
      <c r="Q35" s="320"/>
      <c r="R35" s="320"/>
    </row>
    <row r="36" spans="1:18" ht="11.25" customHeight="1" x14ac:dyDescent="0.2">
      <c r="B36" s="59"/>
      <c r="E36" s="55"/>
      <c r="F36" s="55"/>
      <c r="G36" s="55"/>
    </row>
    <row r="37" spans="1:18" ht="52.5" customHeight="1" x14ac:dyDescent="0.2">
      <c r="B37" s="59"/>
      <c r="E37" s="55"/>
      <c r="F37" s="55"/>
      <c r="G37" s="55"/>
      <c r="I37" s="32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0"/>
      <c r="K37" s="320"/>
      <c r="L37" s="320"/>
      <c r="M37" s="320"/>
      <c r="N37" s="320"/>
      <c r="O37" s="320"/>
      <c r="P37" s="320"/>
      <c r="Q37" s="320"/>
      <c r="R37" s="320"/>
    </row>
    <row r="38" spans="1:18" ht="18" customHeight="1" x14ac:dyDescent="0.2">
      <c r="A38" s="52" t="s">
        <v>137</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22"/>
      <c r="J40" s="323"/>
      <c r="K40" s="323"/>
      <c r="L40" s="323"/>
      <c r="M40" s="323"/>
      <c r="N40" s="323"/>
      <c r="O40" s="323"/>
      <c r="P40" s="323"/>
      <c r="Q40" s="323"/>
      <c r="R40" s="324"/>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3.5000000000000003E-2</v>
      </c>
      <c r="F42" s="55">
        <v>5.1100000000000007E-2</v>
      </c>
      <c r="G42" s="55">
        <v>6.2199999999999998E-2</v>
      </c>
      <c r="I42" s="328" t="str">
        <f>PO!K145</f>
        <v>GUAPORÉ/RS</v>
      </c>
      <c r="J42" s="328"/>
      <c r="K42" s="328"/>
      <c r="L42" s="328"/>
      <c r="O42" s="321">
        <f ca="1">PO!K148</f>
        <v>44068</v>
      </c>
      <c r="P42" s="321"/>
      <c r="Q42" s="321"/>
      <c r="R42" s="321"/>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47" t="s">
        <v>120</v>
      </c>
      <c r="J43" s="347"/>
      <c r="K43" s="347"/>
      <c r="L43" s="347"/>
      <c r="N43" s="68"/>
      <c r="O43" s="144" t="s">
        <v>121</v>
      </c>
      <c r="P43" s="145"/>
      <c r="Q43" s="145"/>
      <c r="R43" s="145"/>
    </row>
    <row r="44" spans="1:18" x14ac:dyDescent="0.2">
      <c r="A44" s="52" t="s">
        <v>59</v>
      </c>
      <c r="B44" s="54" t="s">
        <v>104</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105</v>
      </c>
      <c r="C45" s="52" t="str">
        <f t="shared" si="0"/>
        <v>Estudos e Projetos, Planos e Gerenciamento e outros correlatos-K2</v>
      </c>
      <c r="E45" s="55" t="s">
        <v>46</v>
      </c>
      <c r="F45" s="55">
        <v>0.2</v>
      </c>
      <c r="G45" s="55" t="s">
        <v>46</v>
      </c>
      <c r="I45" s="318"/>
      <c r="J45" s="318"/>
      <c r="K45" s="318"/>
      <c r="L45" s="318"/>
      <c r="M45" s="69"/>
      <c r="N45" s="69"/>
      <c r="O45" s="318"/>
      <c r="P45" s="318"/>
      <c r="Q45" s="318"/>
      <c r="R45" s="318"/>
    </row>
    <row r="46" spans="1:18" x14ac:dyDescent="0.2">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5" t="s">
        <v>57</v>
      </c>
      <c r="J46" s="325"/>
      <c r="K46" s="325"/>
      <c r="L46" s="325"/>
      <c r="M46" s="70"/>
      <c r="N46" s="70"/>
      <c r="O46" s="325" t="s">
        <v>58</v>
      </c>
      <c r="P46" s="325"/>
      <c r="Q46" s="325"/>
      <c r="R46" s="325"/>
    </row>
    <row r="47" spans="1:18" ht="14.25" x14ac:dyDescent="0.2">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3" t="str">
        <f>DADOS!B54</f>
        <v>RICARDO PEDROSO DE FARIAS</v>
      </c>
      <c r="K47" s="313"/>
      <c r="L47" s="313"/>
      <c r="M47" s="71"/>
      <c r="N47" s="71"/>
      <c r="O47" s="29" t="s">
        <v>140</v>
      </c>
      <c r="P47" s="326" t="s">
        <v>236</v>
      </c>
      <c r="Q47" s="326"/>
      <c r="R47" s="326"/>
    </row>
    <row r="48" spans="1:18" ht="14.25" x14ac:dyDescent="0.2">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3" t="str">
        <f>DADOS!B55</f>
        <v>ENGENHEIRO CIVIL</v>
      </c>
      <c r="K48" s="313"/>
      <c r="L48" s="313"/>
      <c r="M48" s="71"/>
      <c r="N48" s="71"/>
      <c r="O48" s="29" t="s">
        <v>60</v>
      </c>
      <c r="P48" s="326" t="s">
        <v>237</v>
      </c>
      <c r="Q48" s="326"/>
      <c r="R48" s="326"/>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CREA/CAU:</v>
      </c>
      <c r="J49" s="313" t="str">
        <f>DADOS!B56</f>
        <v>RS215262</v>
      </c>
      <c r="K49" s="313"/>
      <c r="L49" s="313"/>
      <c r="M49" s="71"/>
      <c r="N49" s="71"/>
      <c r="O49" s="71"/>
      <c r="P49" s="71"/>
      <c r="Q49" s="71"/>
      <c r="R49" s="71"/>
    </row>
    <row r="50" spans="1:18" x14ac:dyDescent="0.2">
      <c r="I50" s="29" t="str">
        <f>DADOS!A57</f>
        <v>ART/RRT:</v>
      </c>
      <c r="J50" s="313" t="str">
        <f>DADOS!B57</f>
        <v>10794667</v>
      </c>
      <c r="K50" s="313"/>
      <c r="L50" s="313"/>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137</v>
      </c>
    </row>
    <row r="58" spans="1:18" hidden="1" x14ac:dyDescent="0.2">
      <c r="A58" s="52" t="s">
        <v>138</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phoneticPr fontId="43" type="noConversion"/>
  <conditionalFormatting sqref="O42">
    <cfRule type="expression" dxfId="807" priority="6" stopIfTrue="1">
      <formula>$O$42=""</formula>
    </cfRule>
  </conditionalFormatting>
  <conditionalFormatting sqref="O18:O27">
    <cfRule type="expression" dxfId="806" priority="11" stopIfTrue="1">
      <formula>AND(O18&lt;&gt;"OK",O18&lt;&gt;"-",O18&lt;&gt;"")</formula>
    </cfRule>
    <cfRule type="cellIs" dxfId="805" priority="12" stopIfTrue="1" operator="equal">
      <formula>"OK"</formula>
    </cfRule>
  </conditionalFormatting>
  <conditionalFormatting sqref="I26:N26">
    <cfRule type="expression" dxfId="804" priority="10" stopIfTrue="1">
      <formula>$Q$11="Não"</formula>
    </cfRule>
  </conditionalFormatting>
  <conditionalFormatting sqref="I27:N27">
    <cfRule type="expression" dxfId="803" priority="9" stopIfTrue="1">
      <formula>$Q$11="sim"</formula>
    </cfRule>
  </conditionalFormatting>
  <conditionalFormatting sqref="P27:R27">
    <cfRule type="expression" dxfId="802" priority="8" stopIfTrue="1">
      <formula>$Q$11="sim"</formula>
    </cfRule>
  </conditionalFormatting>
  <conditionalFormatting sqref="P47:R48">
    <cfRule type="expression" dxfId="801" priority="7" stopIfTrue="1">
      <formula>P47=""</formula>
    </cfRule>
  </conditionalFormatting>
  <conditionalFormatting sqref="I29:R29">
    <cfRule type="expression" dxfId="800" priority="3" stopIfTrue="1">
      <formula>AND(NOT($V$27),NOT($V$29))</formula>
    </cfRule>
  </conditionalFormatting>
  <conditionalFormatting sqref="P18:R26">
    <cfRule type="expression" dxfId="799" priority="2" stopIfTrue="1">
      <formula>$I$11=$A$58</formula>
    </cfRule>
  </conditionalFormatting>
  <dataValidations count="6">
    <dataValidation type="list" allowBlank="1" showInputMessage="1" showErrorMessage="1" sqref="I11:P11" xr:uid="{00000000-0002-0000-0100-000000000000}">
      <formula1>$A$52:$A$59</formula1>
    </dataValidation>
    <dataValidation operator="greaterThanOrEqual" allowBlank="1" showInputMessage="1" showErrorMessage="1" errorTitle="Erro de valores" error="Digite um valor igual a 0% ou 2%." sqref="N25" xr:uid="{00000000-0002-0000-0100-000001000000}"/>
    <dataValidation type="decimal" allowBlank="1" showInputMessage="1" showErrorMessage="1" errorTitle="Erro de valores" error="Digite um valor maior do que 0." sqref="N24" xr:uid="{00000000-0002-0000-0100-000002000000}">
      <formula1>0</formula1>
      <formula2>1</formula2>
    </dataValidation>
    <dataValidation type="decimal" allowBlank="1" showInputMessage="1" showErrorMessage="1" errorTitle="Valor não permitido" error="Digite um percentual entre 0% e 100%." promptTitle="Valores admissíveis:" prompt="Insira valores entre 0 e 100%." sqref="Q13:R13" xr:uid="{00000000-0002-0000-0100-000003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xr:uid="{00000000-0002-0000-0100-000004000000}">
      <formula1>0</formula1>
    </dataValidation>
    <dataValidation type="decimal" allowBlank="1" showInputMessage="1" showErrorMessage="1" errorTitle="Erro de valores" error="Digite um valor entre 0% e 100%" sqref="N18:N23" xr:uid="{00000000-0002-0000-0100-000005000000}">
      <formula1>0</formula1>
      <formula2>1</formula2>
    </dataValidation>
  </dataValidations>
  <pageMargins left="0.78740157480314998" right="0.78740157480314998" top="0.78740157480314998" bottom="0.78740157480314998" header="0.59055118110236204" footer="0.59055118110236204"/>
  <pageSetup paperSize="9" scale="76" orientation="portrait" r:id="rId1"/>
  <headerFooter alignWithMargins="0">
    <oddHeader>&amp;C&amp;14I</oddHeader>
    <oddFooter>&amp;R&amp;P&amp;L27.476 v008   micro</oddFooter>
  </headerFooter>
  <ignoredErrors>
    <ignoredError sqref="V27" unlockedFormula="1"/>
    <ignoredError sqref="P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FF00"/>
    <pageSetUpPr fitToPage="1"/>
  </sheetPr>
  <dimension ref="A1:AA149"/>
  <sheetViews>
    <sheetView showGridLines="0" topLeftCell="J1" zoomScaleNormal="100" zoomScaleSheetLayoutView="100" workbookViewId="0">
      <pane ySplit="12" topLeftCell="A13" activePane="bottomLeft" state="frozen"/>
      <selection pane="bottomLeft" activeCell="N17" sqref="N17"/>
    </sheetView>
  </sheetViews>
  <sheetFormatPr defaultRowHeight="12.75" x14ac:dyDescent="0.2"/>
  <cols>
    <col min="1" max="2" width="6.7109375" hidden="1" customWidth="1"/>
    <col min="3" max="7" width="5.7109375" hidden="1" customWidth="1"/>
    <col min="8" max="9" width="6.7109375" hidden="1" customWidth="1"/>
    <col min="10" max="10" width="8.7109375" customWidth="1"/>
    <col min="11" max="11" width="12.7109375" customWidth="1"/>
    <col min="12" max="13" width="15.7109375" customWidth="1"/>
    <col min="14" max="14" width="80.7109375" customWidth="1"/>
    <col min="15" max="15" width="10.7109375" customWidth="1"/>
    <col min="16" max="17" width="15.7109375" customWidth="1"/>
    <col min="18" max="18" width="10.7109375" customWidth="1"/>
    <col min="19" max="21" width="15.7109375" customWidth="1"/>
    <col min="22" max="22" width="9.140625" hidden="1" customWidth="1"/>
    <col min="23" max="23" width="15.7109375" hidden="1" customWidth="1"/>
    <col min="24" max="24" width="20.7109375" hidden="1" customWidth="1"/>
    <col min="25" max="25" width="15.7109375" customWidth="1"/>
  </cols>
  <sheetData>
    <row r="1" spans="1:27" ht="12.95" customHeight="1" x14ac:dyDescent="0.2">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x14ac:dyDescent="0.2">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Base para Licitação</v>
      </c>
      <c r="O2" s="4"/>
      <c r="P2" s="4"/>
      <c r="Q2" s="4"/>
      <c r="R2" s="4"/>
      <c r="S2" s="4"/>
      <c r="T2" s="78" t="s">
        <v>166</v>
      </c>
      <c r="U2" s="4"/>
      <c r="V2" s="4"/>
      <c r="W2" s="354" t="s">
        <v>181</v>
      </c>
      <c r="X2" s="354"/>
      <c r="Y2" s="4"/>
      <c r="Z2" s="4"/>
      <c r="AA2" s="4"/>
    </row>
    <row r="3" spans="1:27" ht="12.75" customHeight="1" x14ac:dyDescent="0.2">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5" customHeight="1" x14ac:dyDescent="0.2">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5" customHeight="1" x14ac:dyDescent="0.2">
      <c r="A5" s="9">
        <f>MAX($A$12:$A$134)</f>
        <v>2</v>
      </c>
      <c r="B5" s="4"/>
      <c r="D5" s="117"/>
      <c r="F5" s="5"/>
      <c r="G5" s="4"/>
      <c r="H5" s="4"/>
      <c r="I5" s="4"/>
      <c r="J5" s="4"/>
      <c r="K5" s="4"/>
      <c r="L5" s="4"/>
      <c r="M5" s="4"/>
      <c r="N5" s="4"/>
      <c r="O5" s="4"/>
      <c r="P5" s="4"/>
      <c r="Q5" s="4"/>
      <c r="R5" s="4"/>
      <c r="S5" s="4"/>
      <c r="T5" s="4"/>
      <c r="U5" s="119" t="str">
        <f ca="1">IF(COUNTIF($U$12:OFFSET($U$134,-1,0),"DESCRIÇÃO")+COUNTIF($U$12:OFFSET($U$134,-1,0),"UNIDADE")+COUNTIF($U$12:OFFSET($U$134,-1,0),"SEM VALOR")&gt;0,"NÃO OK","OK")</f>
        <v>OK</v>
      </c>
      <c r="V5" s="212" t="s">
        <v>106</v>
      </c>
      <c r="W5" s="211" t="s">
        <v>183</v>
      </c>
      <c r="X5" s="214" t="b">
        <v>1</v>
      </c>
      <c r="Y5" s="4"/>
      <c r="Z5" s="4"/>
      <c r="AA5" s="4"/>
    </row>
    <row r="6" spans="1:27" ht="24.95" customHeight="1" x14ac:dyDescent="0.2">
      <c r="A6" s="4"/>
      <c r="B6" s="4"/>
      <c r="D6" s="117"/>
      <c r="F6" s="5"/>
      <c r="G6" s="4"/>
      <c r="H6" s="4"/>
      <c r="I6" s="4"/>
      <c r="J6" s="4"/>
      <c r="K6" s="82"/>
      <c r="L6" s="4"/>
      <c r="M6" s="4"/>
      <c r="N6" s="4"/>
      <c r="O6" s="4"/>
      <c r="P6" s="4"/>
      <c r="Q6" s="4"/>
      <c r="R6" s="4"/>
      <c r="S6" s="4"/>
      <c r="T6" s="4"/>
      <c r="U6" s="4"/>
      <c r="V6" s="4"/>
      <c r="W6" s="211" t="s">
        <v>184</v>
      </c>
      <c r="X6" s="214" t="b">
        <v>1</v>
      </c>
      <c r="Y6" s="4"/>
      <c r="Z6" s="4"/>
      <c r="AA6" s="4"/>
    </row>
    <row r="7" spans="1:27" ht="24.95" customHeight="1" x14ac:dyDescent="0.2">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x14ac:dyDescent="0.2">
      <c r="A8" s="4"/>
      <c r="B8" s="4"/>
      <c r="C8" s="20"/>
      <c r="D8" s="20"/>
      <c r="E8" s="5"/>
      <c r="F8" s="5"/>
      <c r="G8" s="4"/>
      <c r="H8" s="4"/>
      <c r="I8" s="4"/>
      <c r="J8" s="4"/>
      <c r="K8" s="4"/>
      <c r="L8" s="4"/>
      <c r="M8" s="4"/>
      <c r="N8" s="4"/>
      <c r="O8" s="4"/>
      <c r="P8" s="4"/>
      <c r="Q8" s="4"/>
      <c r="R8" s="4"/>
      <c r="S8" s="4"/>
      <c r="T8" s="4"/>
      <c r="U8" s="4"/>
      <c r="V8" s="4"/>
      <c r="W8" s="4"/>
      <c r="X8" s="4"/>
      <c r="Y8" s="4"/>
      <c r="Z8" s="4"/>
      <c r="AA8" s="4"/>
    </row>
    <row r="9" spans="1:27" ht="12.75" hidden="1" customHeight="1" x14ac:dyDescent="0.2">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x14ac:dyDescent="0.2">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Custo Unitário (R$)</v>
      </c>
      <c r="R10" s="74" t="s">
        <v>5</v>
      </c>
      <c r="S10" s="74" t="s">
        <v>151</v>
      </c>
      <c r="T10" s="74" t="s">
        <v>6</v>
      </c>
      <c r="U10" s="74" t="s">
        <v>159</v>
      </c>
      <c r="V10" s="116" t="s">
        <v>161</v>
      </c>
      <c r="W10" s="116" t="s">
        <v>122</v>
      </c>
      <c r="X10" s="116" t="s">
        <v>130</v>
      </c>
      <c r="Y10" s="115" t="str">
        <f>IF(TipoOrçamento="LICITADO","Preço Unitário Edital (R$)","Custo Unitário Referência (R$)")</f>
        <v>Custo Unitário Referência (R$)</v>
      </c>
      <c r="Z10" s="147" t="str">
        <f>IF(TipoOrçamento="LICITADO","Valor BDI Edital","Valor BDI")</f>
        <v>Valor BDI</v>
      </c>
      <c r="AA10" s="4"/>
    </row>
    <row r="11" spans="1:27" hidden="1" x14ac:dyDescent="0.2">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IF(OR($A11="S",$A11=0),0,MATCH(0,OFFSET($B11,1,$A11,ROW($A$134)-ROW($A11)),0))</f>
        <v>0</v>
      </c>
      <c r="I11">
        <f ca="1">IF(OR($A11="S",$A11=0),0,MATCH(OFFSET($B11,0,$A11)+1,OFFSET($B11,1,$A11,ROW($A$134)-ROW($A11)),0))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2"/>
      <c r="Q11" s="228"/>
      <c r="R11" s="231" t="s">
        <v>7</v>
      </c>
      <c r="S11" s="121">
        <f ca="1">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0.2223</v>
      </c>
      <c r="AA11" s="4"/>
    </row>
    <row r="12" spans="1:27" x14ac:dyDescent="0.2">
      <c r="A12">
        <v>0</v>
      </c>
      <c r="B12">
        <f ca="1">COUNTA(OFFSET(B12,1,0):B$134)</f>
        <v>121</v>
      </c>
      <c r="J12" s="76" t="str">
        <f>IF(OR(TipoOrçamento="LICITADO",TipoOrçamento="REPROGRAMADOAC"),"CTEF","LOTE")</f>
        <v>LOTE</v>
      </c>
      <c r="K12" s="163">
        <v>0</v>
      </c>
      <c r="L12" s="10"/>
      <c r="M12" s="10"/>
      <c r="N12" s="87" t="str">
        <f>IF(TipoOrçamento="LICITADO",DADOS!O43,DADOS!G38)</f>
        <v>GINÁSIO DE ESPORTE MUNICIPAL MULTIUSO – 5ª ETAPA</v>
      </c>
      <c r="O12" s="10"/>
      <c r="P12" s="11"/>
      <c r="Q12" s="11"/>
      <c r="R12" s="12"/>
      <c r="S12" s="11"/>
      <c r="T12" s="97">
        <f ca="1">SUMIF(OFFSET($J12,1,0,ROW(T134)-ROW(T12)-1),"Serviço",OFFSET(T12,1,0,ROW(T134)-ROW(T12)-1))</f>
        <v>482701.42999999993</v>
      </c>
      <c r="U12" s="13" t="str">
        <f>IF($N12=0,"DESCRIÇÃO","")</f>
        <v/>
      </c>
      <c r="V12" s="4">
        <v>0</v>
      </c>
      <c r="W12" s="4"/>
      <c r="X12" s="4"/>
      <c r="Y12" s="11"/>
      <c r="Z12" s="133"/>
      <c r="AA12" s="4"/>
    </row>
    <row r="13" spans="1:27" x14ac:dyDescent="0.2">
      <c r="A13">
        <f t="shared" ref="A13:A110" si="0">CHOOSE(1+LOG(1+2*(J13="Meta")+4*(J13="Nível 2")+8*(J13="Nível 3")+16*(J13="Nível 4")+32*(J13="Serviço"),2),0,1,2,3,4,"S")</f>
        <v>1</v>
      </c>
      <c r="B13">
        <f t="shared" ref="B13:B110" ca="1" si="1">IF(OR(A13="S",A13=0),0,IF(ISERROR(I13),H13,SMALL(H13:I13,1)))</f>
        <v>12</v>
      </c>
      <c r="C13">
        <f t="shared" ref="C13:C110" ca="1" si="2">IF($A13=1,OFFSET(C13,-1,0)+1,OFFSET(C13,-1,0))</f>
        <v>1</v>
      </c>
      <c r="D13">
        <f t="shared" ref="D13:D110" ca="1" si="3">IF($A13=1,0,IF($A13=2,OFFSET(D13,-1,0)+1,OFFSET(D13,-1,0)))</f>
        <v>0</v>
      </c>
      <c r="E13">
        <f t="shared" ref="E13:E110" ca="1" si="4">IF(AND($A13&lt;=2,$A13&lt;&gt;0),0,IF($A13=3,OFFSET(E13,-1,0)+1,OFFSET(E13,-1,0)))</f>
        <v>0</v>
      </c>
      <c r="F13">
        <f t="shared" ref="F13:F110" ca="1" si="5">IF(AND($A13&lt;=3,$A13&lt;&gt;0),0,IF($A13=4,OFFSET(F13,-1,0)+1,OFFSET(F13,-1,0)))</f>
        <v>0</v>
      </c>
      <c r="G13">
        <f t="shared" ref="G13:G110" ca="1" si="6">IF(AND($A13&lt;=4,$A13&lt;&gt;0),0,IF($A13="S",OFFSET(G13,-1,0)+1,OFFSET(G13,-1,0)))</f>
        <v>0</v>
      </c>
      <c r="H13">
        <f t="shared" ref="H13:H44" ca="1" si="7">IF(OR($A13="S",$A13=0),0,MATCH(0,OFFSET($B13,1,$A13,ROW($A$134)-ROW($A13)),0))</f>
        <v>121</v>
      </c>
      <c r="I13">
        <f t="shared" ref="I13:I44" ca="1" si="8">IF(OR($A13="S",$A13=0),0,MATCH(OFFSET($B13,0,$A13)+1,OFFSET($B13,1,$A13,ROW($A$134)-ROW($A13)),0))</f>
        <v>12</v>
      </c>
      <c r="J13" s="164" t="s">
        <v>99</v>
      </c>
      <c r="K13" s="162" t="str">
        <f t="shared" ref="K13:K110" ca="1" si="9">IF($A13=0,"-",CONCATENATE(C13&amp;".",IF(AND($A$5&gt;=2,$A13&gt;=2),D13&amp;".",""),IF(AND($A$5&gt;=3,$A13&gt;=3),E13&amp;".",""),IF(AND($A$5&gt;=4,$A13&gt;=4),F13&amp;".",""),IF($A13="S",G13&amp;".","")))</f>
        <v>1.</v>
      </c>
      <c r="L13" s="209"/>
      <c r="M13" s="209"/>
      <c r="N13" s="230" t="s">
        <v>247</v>
      </c>
      <c r="O13" s="229"/>
      <c r="P13" s="232">
        <v>0</v>
      </c>
      <c r="Q13" s="228"/>
      <c r="R13" s="231" t="s">
        <v>7</v>
      </c>
      <c r="S13" s="121">
        <f t="shared" ref="S13:S110" si="10">IF($A13="S",IF($Q$10="Preço Unitário (R$)",PO.CustoUnitario,ROUND(PO.CustoUnitario*(1+$Z13),15-13*$X$6)),0)</f>
        <v>0</v>
      </c>
      <c r="T13" s="98">
        <f t="shared" ref="T13:T110" ca="1" si="11">IF($A13="S",VTOTAL1,IF($A13=0,0,ROUND(SomaAgrup,15-13*$X$7)))</f>
        <v>31572.52</v>
      </c>
      <c r="U13" s="13" t="str">
        <f t="shared" ref="U13:U110" ca="1" si="12">IF($J13="","",IF($N13="","DESCRIÇÃO",IF(AND($J13="Serviço",$O13=""),"UNIDADE",IF($T13&lt;=0,"SEM VALOR",IF(AND($Y13&lt;&gt;"",$Q13&gt;$Y13),"ACIMA REF.","")))))</f>
        <v/>
      </c>
      <c r="V13" s="4">
        <f ca="1">IF(OR($A13=0,$A13="S",$A13&gt;CFF!$A$9),"",MAX(V$12:OFFSET(V13,-1,0))+1)</f>
        <v>1</v>
      </c>
      <c r="W13" s="9" t="b">
        <f t="shared" ref="W13:W110" si="13">IF(AND($J13="Serviço",$M13&lt;&gt;""),IF($L13="",$M13,CONCATENATE($L13,"-",$M13)))</f>
        <v>0</v>
      </c>
      <c r="X13" s="4" t="str">
        <f t="shared" ref="X13:X110" ca="1" si="14">IF(AND(Fonte&lt;&gt;"",Código&lt;&gt;""),MATCH(Fonte&amp;" "&amp;IF(Fonte="sinapi",SUBSTITUTE(SUBSTITUTE(Código,"/00","/"),"/0","/"),Código),INDIRECT("'[Referência "&amp;_xlnm.Database&amp;".xls]Banco'!$a:$a"),0),"X")</f>
        <v>X</v>
      </c>
      <c r="Y13" s="121">
        <f t="shared" ref="Y13:Y110" ca="1" si="15">IF(Import.Desoneracao="sim",Referencia.Desonerado,Referencia.NaoDesonerado)</f>
        <v>0</v>
      </c>
      <c r="Z13" s="132">
        <f ca="1">ROUND(IF(ISNUMBER(R13),R13,IF(LEFT(R13,3)="BDI",HLOOKUP(R13,DADOS!$T$37:$X$38,2,FALSE),0)),15-11*$X$5)</f>
        <v>0.2223</v>
      </c>
      <c r="AA13" s="4"/>
    </row>
    <row r="14" spans="1:27" x14ac:dyDescent="0.2">
      <c r="A14" t="str">
        <f t="shared" si="0"/>
        <v>S</v>
      </c>
      <c r="B14">
        <f t="shared" si="1"/>
        <v>0</v>
      </c>
      <c r="C14">
        <f t="shared" ca="1" si="2"/>
        <v>1</v>
      </c>
      <c r="D14">
        <f t="shared" ca="1" si="3"/>
        <v>0</v>
      </c>
      <c r="E14">
        <f t="shared" ca="1" si="4"/>
        <v>0</v>
      </c>
      <c r="F14">
        <f t="shared" ca="1" si="5"/>
        <v>0</v>
      </c>
      <c r="G14">
        <f t="shared" ca="1" si="6"/>
        <v>1</v>
      </c>
      <c r="H14">
        <f t="shared" ca="1" si="7"/>
        <v>0</v>
      </c>
      <c r="I14">
        <f t="shared" ca="1" si="8"/>
        <v>0</v>
      </c>
      <c r="J14" s="120" t="s">
        <v>103</v>
      </c>
      <c r="K14" s="162" t="str">
        <f t="shared" ca="1" si="9"/>
        <v>1.0.1.</v>
      </c>
      <c r="L14" s="209" t="s">
        <v>240</v>
      </c>
      <c r="M14" s="209" t="s">
        <v>239</v>
      </c>
      <c r="N14" s="230" t="s">
        <v>305</v>
      </c>
      <c r="O14" s="229" t="s">
        <v>242</v>
      </c>
      <c r="P14" s="232">
        <v>2.88</v>
      </c>
      <c r="Q14" s="228">
        <v>300</v>
      </c>
      <c r="R14" s="231" t="s">
        <v>7</v>
      </c>
      <c r="S14" s="121">
        <f t="shared" ca="1" si="10"/>
        <v>366.69</v>
      </c>
      <c r="T14" s="98">
        <f t="shared" ca="1" si="11"/>
        <v>1056.07</v>
      </c>
      <c r="U14" s="13" t="str">
        <f t="shared" ca="1" si="12"/>
        <v>ACIMA REF.</v>
      </c>
      <c r="V14" s="4" t="str">
        <f ca="1">IF(OR($A14=0,$A14="S",$A14&gt;CFF!$A$9),"",MAX(V$12:OFFSET(V14,-1,0))+1)</f>
        <v/>
      </c>
      <c r="W14" s="9" t="str">
        <f t="shared" si="13"/>
        <v>SINAPI-I-4813</v>
      </c>
      <c r="X14" s="4" t="e">
        <f t="shared" ca="1" si="14"/>
        <v>#REF!</v>
      </c>
      <c r="Y14" s="121">
        <f t="shared" ca="1" si="15"/>
        <v>0</v>
      </c>
      <c r="Z14" s="132">
        <f ca="1">ROUND(IF(ISNUMBER(R14),R14,IF(LEFT(R14,3)="BDI",HLOOKUP(R14,DADOS!$T$37:$X$38,2,FALSE),0)),15-11*$X$5)</f>
        <v>0.2223</v>
      </c>
      <c r="AA14" s="4"/>
    </row>
    <row r="15" spans="1:27" x14ac:dyDescent="0.2">
      <c r="A15" t="str">
        <f>CHOOSE(1+LOG(1+2*(J15="Meta")+4*(J15="Nível 2")+8*(J15="Nível 3")+16*(J15="Nível 4")+32*(J15="Serviço"),2),0,1,2,3,4,"S")</f>
        <v>S</v>
      </c>
      <c r="B15">
        <f>IF(OR(A15="S",A15=0),0,IF(ISERROR(I15),H15,SMALL(H15:I15,1)))</f>
        <v>0</v>
      </c>
      <c r="C15">
        <f ca="1">IF($A15=1,OFFSET(C15,-1,0)+1,OFFSET(C15,-1,0))</f>
        <v>1</v>
      </c>
      <c r="D15">
        <f ca="1">IF($A15=1,0,IF($A15=2,OFFSET(D15,-1,0)+1,OFFSET(D15,-1,0)))</f>
        <v>0</v>
      </c>
      <c r="E15">
        <f ca="1">IF(AND($A15&lt;=2,$A15&lt;&gt;0),0,IF($A15=3,OFFSET(E15,-1,0)+1,OFFSET(E15,-1,0)))</f>
        <v>0</v>
      </c>
      <c r="F15">
        <f ca="1">IF(AND($A15&lt;=3,$A15&lt;&gt;0),0,IF($A15=4,OFFSET(F15,-1,0)+1,OFFSET(F15,-1,0)))</f>
        <v>0</v>
      </c>
      <c r="G15">
        <f ca="1">IF(AND($A15&lt;=4,$A15&lt;&gt;0),0,IF($A15="S",OFFSET(G15,-1,0)+1,OFFSET(G15,-1,0)))</f>
        <v>2</v>
      </c>
      <c r="H15">
        <f t="shared" ca="1" si="7"/>
        <v>0</v>
      </c>
      <c r="I15">
        <f t="shared" ca="1" si="8"/>
        <v>0</v>
      </c>
      <c r="J15" s="120" t="s">
        <v>103</v>
      </c>
      <c r="K15" s="162" t="str">
        <f ca="1">IF($A15=0,"-",CONCATENATE(C15&amp;".",IF(AND($A$5&gt;=2,$A15&gt;=2),D15&amp;".",""),IF(AND($A$5&gt;=3,$A15&gt;=3),E15&amp;".",""),IF(AND($A$5&gt;=4,$A15&gt;=4),F15&amp;".",""),IF($A15="S",G15&amp;".","")))</f>
        <v>1.0.2.</v>
      </c>
      <c r="L15" s="209" t="s">
        <v>238</v>
      </c>
      <c r="M15" s="209" t="s">
        <v>352</v>
      </c>
      <c r="N15" s="230" t="s">
        <v>376</v>
      </c>
      <c r="O15" s="229" t="s">
        <v>243</v>
      </c>
      <c r="P15" s="232">
        <v>180</v>
      </c>
      <c r="Q15" s="228">
        <v>75.209999999999994</v>
      </c>
      <c r="R15" s="231" t="s">
        <v>7</v>
      </c>
      <c r="S15" s="121">
        <f ca="1">IF($A15="S",IF($Q$10="Preço Unitário (R$)",PO.CustoUnitario,ROUND(PO.CustoUnitario*(1+$Z15),15-13*$X$6)),0)</f>
        <v>91.93</v>
      </c>
      <c r="T15" s="98">
        <f ca="1">IF($A15="S",VTOTAL1,IF($A15=0,0,ROUND(SomaAgrup,15-13*$X$7)))</f>
        <v>16547.400000000001</v>
      </c>
      <c r="U15" s="13" t="str">
        <f ca="1">IF($J15="","",IF($N15="","DESCRIÇÃO",IF(AND($J15="Serviço",$O15=""),"UNIDADE",IF($T15&lt;=0,"SEM VALOR",IF(AND($Y15&lt;&gt;"",$Q15&gt;$Y15),"ACIMA REF.","")))))</f>
        <v>ACIMA REF.</v>
      </c>
      <c r="V15" s="4" t="str">
        <f ca="1">IF(OR($A15=0,$A15="S",$A15&gt;CFF!$A$9),"",MAX(V$12:OFFSET(V15,-1,0))+1)</f>
        <v/>
      </c>
      <c r="W15" s="9" t="str">
        <f>IF(AND($J15="Serviço",$M15&lt;&gt;""),IF($L15="",$M15,CONCATENATE($L15,"-",$M15)))</f>
        <v>SINAPI-98459</v>
      </c>
      <c r="X15" s="4" t="e">
        <f ca="1">IF(AND(Fonte&lt;&gt;"",Código&lt;&gt;""),MATCH(Fonte&amp;" "&amp;IF(Fonte="sinapi",SUBSTITUTE(SUBSTITUTE(Código,"/00","/"),"/0","/"),Código),INDIRECT("'[Referência "&amp;_xlnm.Database&amp;".xls]Banco'!$a:$a"),0),"X")</f>
        <v>#REF!</v>
      </c>
      <c r="Y15" s="121">
        <f ca="1">IF(Import.Desoneracao="sim",Referencia.Desonerado,Referencia.NaoDesonerado)</f>
        <v>0</v>
      </c>
      <c r="Z15" s="132">
        <f ca="1">ROUND(IF(ISNUMBER(R15),R15,IF(LEFT(R15,3)="BDI",HLOOKUP(R15,DADOS!$T$37:$X$38,2,FALSE),0)),15-11*$X$5)</f>
        <v>0.2223</v>
      </c>
      <c r="AA15" s="4"/>
    </row>
    <row r="16" spans="1:27" x14ac:dyDescent="0.2">
      <c r="A16" t="str">
        <f t="shared" si="0"/>
        <v>S</v>
      </c>
      <c r="B16">
        <f t="shared" si="1"/>
        <v>0</v>
      </c>
      <c r="C16">
        <f t="shared" ca="1" si="2"/>
        <v>1</v>
      </c>
      <c r="D16">
        <f t="shared" ca="1" si="3"/>
        <v>0</v>
      </c>
      <c r="E16">
        <f t="shared" ca="1" si="4"/>
        <v>0</v>
      </c>
      <c r="F16">
        <f t="shared" ca="1" si="5"/>
        <v>0</v>
      </c>
      <c r="G16">
        <f t="shared" ca="1" si="6"/>
        <v>3</v>
      </c>
      <c r="H16">
        <f t="shared" ca="1" si="7"/>
        <v>0</v>
      </c>
      <c r="I16">
        <f t="shared" ca="1" si="8"/>
        <v>0</v>
      </c>
      <c r="J16" s="120" t="s">
        <v>103</v>
      </c>
      <c r="K16" s="162" t="str">
        <f t="shared" ca="1" si="9"/>
        <v>1.0.3.</v>
      </c>
      <c r="L16" s="209" t="s">
        <v>238</v>
      </c>
      <c r="M16" s="209" t="s">
        <v>298</v>
      </c>
      <c r="N16" s="230" t="s">
        <v>306</v>
      </c>
      <c r="O16" s="229" t="s">
        <v>243</v>
      </c>
      <c r="P16" s="232">
        <v>1856.42</v>
      </c>
      <c r="Q16" s="228">
        <v>1.47</v>
      </c>
      <c r="R16" s="231" t="s">
        <v>7</v>
      </c>
      <c r="S16" s="121">
        <f t="shared" ca="1" si="10"/>
        <v>1.8</v>
      </c>
      <c r="T16" s="98">
        <f t="shared" ca="1" si="11"/>
        <v>3341.56</v>
      </c>
      <c r="U16" s="13" t="str">
        <f t="shared" ca="1" si="12"/>
        <v>ACIMA REF.</v>
      </c>
      <c r="V16" s="4" t="str">
        <f ca="1">IF(OR($A16=0,$A16="S",$A16&gt;CFF!$A$9),"",MAX(V$12:OFFSET(V16,-1,0))+1)</f>
        <v/>
      </c>
      <c r="W16" s="9" t="str">
        <f t="shared" si="13"/>
        <v>SINAPI-99814</v>
      </c>
      <c r="X16" s="4" t="e">
        <f t="shared" ca="1" si="14"/>
        <v>#REF!</v>
      </c>
      <c r="Y16" s="121">
        <f t="shared" ca="1" si="15"/>
        <v>0</v>
      </c>
      <c r="Z16" s="132">
        <f ca="1">ROUND(IF(ISNUMBER(R16),R16,IF(LEFT(R16,3)="BDI",HLOOKUP(R16,DADOS!$T$37:$X$38,2,FALSE),0)),15-11*$X$5)</f>
        <v>0.2223</v>
      </c>
      <c r="AA16" s="4"/>
    </row>
    <row r="17" spans="1:27" ht="25.5" x14ac:dyDescent="0.2">
      <c r="A17" t="str">
        <f t="shared" si="0"/>
        <v>S</v>
      </c>
      <c r="B17">
        <f t="shared" si="1"/>
        <v>0</v>
      </c>
      <c r="C17">
        <f t="shared" ca="1" si="2"/>
        <v>1</v>
      </c>
      <c r="D17">
        <f t="shared" ca="1" si="3"/>
        <v>0</v>
      </c>
      <c r="E17">
        <f t="shared" ca="1" si="4"/>
        <v>0</v>
      </c>
      <c r="F17">
        <f t="shared" ca="1" si="5"/>
        <v>0</v>
      </c>
      <c r="G17">
        <f t="shared" ca="1" si="6"/>
        <v>4</v>
      </c>
      <c r="H17">
        <f t="shared" ca="1" si="7"/>
        <v>0</v>
      </c>
      <c r="I17">
        <f t="shared" ca="1" si="8"/>
        <v>0</v>
      </c>
      <c r="J17" s="120" t="s">
        <v>103</v>
      </c>
      <c r="K17" s="162" t="str">
        <f t="shared" ca="1" si="9"/>
        <v>1.0.4.</v>
      </c>
      <c r="L17" s="209" t="s">
        <v>238</v>
      </c>
      <c r="M17" s="209" t="s">
        <v>299</v>
      </c>
      <c r="N17" s="230" t="s">
        <v>307</v>
      </c>
      <c r="O17" s="229" t="s">
        <v>244</v>
      </c>
      <c r="P17" s="232">
        <v>1.27</v>
      </c>
      <c r="Q17" s="228">
        <v>80.599999999999994</v>
      </c>
      <c r="R17" s="231" t="s">
        <v>7</v>
      </c>
      <c r="S17" s="121">
        <f t="shared" ca="1" si="10"/>
        <v>98.52</v>
      </c>
      <c r="T17" s="98">
        <f t="shared" ca="1" si="11"/>
        <v>125.12</v>
      </c>
      <c r="U17" s="13" t="str">
        <f t="shared" ca="1" si="12"/>
        <v>ACIMA REF.</v>
      </c>
      <c r="V17" s="4" t="str">
        <f ca="1">IF(OR($A17=0,$A17="S",$A17&gt;CFF!$A$9),"",MAX(V$12:OFFSET(V17,-1,0))+1)</f>
        <v/>
      </c>
      <c r="W17" s="9" t="str">
        <f t="shared" si="13"/>
        <v>SINAPI-97624</v>
      </c>
      <c r="X17" s="4" t="e">
        <f t="shared" ca="1" si="14"/>
        <v>#REF!</v>
      </c>
      <c r="Y17" s="121">
        <f t="shared" ca="1" si="15"/>
        <v>0</v>
      </c>
      <c r="Z17" s="132">
        <f ca="1">ROUND(IF(ISNUMBER(R17),R17,IF(LEFT(R17,3)="BDI",HLOOKUP(R17,DADOS!$T$37:$X$38,2,FALSE),0)),15-11*$X$5)</f>
        <v>0.2223</v>
      </c>
      <c r="AA17" s="4"/>
    </row>
    <row r="18" spans="1:27" ht="25.5" x14ac:dyDescent="0.2">
      <c r="A18" t="str">
        <f>CHOOSE(1+LOG(1+2*(J18="Meta")+4*(J18="Nível 2")+8*(J18="Nível 3")+16*(J18="Nível 4")+32*(J18="Serviço"),2),0,1,2,3,4,"S")</f>
        <v>S</v>
      </c>
      <c r="B18">
        <f>IF(OR(A18="S",A18=0),0,IF(ISERROR(I18),H18,SMALL(H18:I18,1)))</f>
        <v>0</v>
      </c>
      <c r="C18">
        <f ca="1">IF($A18=1,OFFSET(C18,-1,0)+1,OFFSET(C18,-1,0))</f>
        <v>1</v>
      </c>
      <c r="D18">
        <f ca="1">IF($A18=1,0,IF($A18=2,OFFSET(D18,-1,0)+1,OFFSET(D18,-1,0)))</f>
        <v>0</v>
      </c>
      <c r="E18">
        <f ca="1">IF(AND($A18&lt;=2,$A18&lt;&gt;0),0,IF($A18=3,OFFSET(E18,-1,0)+1,OFFSET(E18,-1,0)))</f>
        <v>0</v>
      </c>
      <c r="F18">
        <f ca="1">IF(AND($A18&lt;=3,$A18&lt;&gt;0),0,IF($A18=4,OFFSET(F18,-1,0)+1,OFFSET(F18,-1,0)))</f>
        <v>0</v>
      </c>
      <c r="G18">
        <f ca="1">IF(AND($A18&lt;=4,$A18&lt;&gt;0),0,IF($A18="S",OFFSET(G18,-1,0)+1,OFFSET(G18,-1,0)))</f>
        <v>5</v>
      </c>
      <c r="H18">
        <f t="shared" ca="1" si="7"/>
        <v>0</v>
      </c>
      <c r="I18">
        <f t="shared" ca="1" si="8"/>
        <v>0</v>
      </c>
      <c r="J18" s="120" t="s">
        <v>103</v>
      </c>
      <c r="K18" s="162" t="str">
        <f ca="1">IF($A18=0,"-",CONCATENATE(C18&amp;".",IF(AND($A$5&gt;=2,$A18&gt;=2),D18&amp;".",""),IF(AND($A$5&gt;=3,$A18&gt;=3),E18&amp;".",""),IF(AND($A$5&gt;=4,$A18&gt;=4),F18&amp;".",""),IF($A18="S",G18&amp;".","")))</f>
        <v>1.0.5.</v>
      </c>
      <c r="L18" s="209" t="s">
        <v>353</v>
      </c>
      <c r="M18" s="209" t="s">
        <v>354</v>
      </c>
      <c r="N18" s="230" t="s">
        <v>377</v>
      </c>
      <c r="O18" s="229" t="s">
        <v>243</v>
      </c>
      <c r="P18" s="232">
        <v>346.07</v>
      </c>
      <c r="Q18" s="228">
        <v>2.35</v>
      </c>
      <c r="R18" s="231" t="s">
        <v>7</v>
      </c>
      <c r="S18" s="121">
        <f ca="1">IF($A18="S",IF($Q$10="Preço Unitário (R$)",PO.CustoUnitario,ROUND(PO.CustoUnitario*(1+$Z18),15-13*$X$6)),0)</f>
        <v>2.87</v>
      </c>
      <c r="T18" s="98">
        <f ca="1">IF($A18="S",VTOTAL1,IF($A18=0,0,ROUND(SomaAgrup,15-13*$X$7)))</f>
        <v>993.22</v>
      </c>
      <c r="U18" s="13" t="str">
        <f ca="1">IF($J18="","",IF($N18="","DESCRIÇÃO",IF(AND($J18="Serviço",$O18=""),"UNIDADE",IF($T18&lt;=0,"SEM VALOR",IF(AND($Y18&lt;&gt;"",$Q18&gt;$Y18),"ACIMA REF.","")))))</f>
        <v>ACIMA REF.</v>
      </c>
      <c r="V18" s="4" t="str">
        <f ca="1">IF(OR($A18=0,$A18="S",$A18&gt;CFF!$A$9),"",MAX(V$12:OFFSET(V18,-1,0))+1)</f>
        <v/>
      </c>
      <c r="W18" s="9" t="str">
        <f>IF(AND($J18="Serviço",$M18&lt;&gt;""),IF($L18="",$M18,CONCATENATE($L18,"-",$M18)))</f>
        <v>PRÓPRIA-0001</v>
      </c>
      <c r="X18" s="4" t="e">
        <f ca="1">IF(AND(Fonte&lt;&gt;"",Código&lt;&gt;""),MATCH(Fonte&amp;" "&amp;IF(Fonte="sinapi",SUBSTITUTE(SUBSTITUTE(Código,"/00","/"),"/0","/"),Código),INDIRECT("'[Referência "&amp;_xlnm.Database&amp;".xls]Banco'!$a:$a"),0),"X")</f>
        <v>#REF!</v>
      </c>
      <c r="Y18" s="121">
        <f ca="1">IF(Import.Desoneracao="sim",Referencia.Desonerado,Referencia.NaoDesonerado)</f>
        <v>0</v>
      </c>
      <c r="Z18" s="132">
        <f ca="1">ROUND(IF(ISNUMBER(R18),R18,IF(LEFT(R18,3)="BDI",HLOOKUP(R18,DADOS!$T$37:$X$38,2,FALSE),0)),15-11*$X$5)</f>
        <v>0.2223</v>
      </c>
      <c r="AA18" s="4"/>
    </row>
    <row r="19" spans="1:27" ht="25.5" x14ac:dyDescent="0.2">
      <c r="A19" t="str">
        <f t="shared" si="0"/>
        <v>S</v>
      </c>
      <c r="B19">
        <f t="shared" si="1"/>
        <v>0</v>
      </c>
      <c r="C19">
        <f t="shared" ca="1" si="2"/>
        <v>1</v>
      </c>
      <c r="D19">
        <f t="shared" ca="1" si="3"/>
        <v>0</v>
      </c>
      <c r="E19">
        <f t="shared" ca="1" si="4"/>
        <v>0</v>
      </c>
      <c r="F19">
        <f t="shared" ca="1" si="5"/>
        <v>0</v>
      </c>
      <c r="G19">
        <f t="shared" ca="1" si="6"/>
        <v>6</v>
      </c>
      <c r="H19">
        <f t="shared" ca="1" si="7"/>
        <v>0</v>
      </c>
      <c r="I19">
        <f t="shared" ca="1" si="8"/>
        <v>0</v>
      </c>
      <c r="J19" s="120" t="s">
        <v>103</v>
      </c>
      <c r="K19" s="162" t="str">
        <f t="shared" ca="1" si="9"/>
        <v>1.0.6.</v>
      </c>
      <c r="L19" s="209" t="s">
        <v>238</v>
      </c>
      <c r="M19" s="209" t="s">
        <v>300</v>
      </c>
      <c r="N19" s="230" t="s">
        <v>345</v>
      </c>
      <c r="O19" s="229" t="s">
        <v>243</v>
      </c>
      <c r="P19" s="232">
        <v>219.7</v>
      </c>
      <c r="Q19" s="228">
        <v>2.4700000000000002</v>
      </c>
      <c r="R19" s="231" t="s">
        <v>7</v>
      </c>
      <c r="S19" s="121">
        <f t="shared" ca="1" si="10"/>
        <v>3.02</v>
      </c>
      <c r="T19" s="98">
        <f t="shared" ca="1" si="11"/>
        <v>663.49</v>
      </c>
      <c r="U19" s="13" t="str">
        <f t="shared" ca="1" si="12"/>
        <v>ACIMA REF.</v>
      </c>
      <c r="V19" s="4" t="str">
        <f ca="1">IF(OR($A19=0,$A19="S",$A19&gt;CFF!$A$9),"",MAX(V$12:OFFSET(V19,-1,0))+1)</f>
        <v/>
      </c>
      <c r="W19" s="9" t="str">
        <f t="shared" si="13"/>
        <v>SINAPI-97631</v>
      </c>
      <c r="X19" s="4" t="e">
        <f t="shared" ca="1" si="14"/>
        <v>#REF!</v>
      </c>
      <c r="Y19" s="121">
        <f t="shared" ca="1" si="15"/>
        <v>0</v>
      </c>
      <c r="Z19" s="132">
        <f ca="1">ROUND(IF(ISNUMBER(R19),R19,IF(LEFT(R19,3)="BDI",HLOOKUP(R19,DADOS!$T$37:$X$38,2,FALSE),0)),15-11*$X$5)</f>
        <v>0.2223</v>
      </c>
      <c r="AA19" s="4"/>
    </row>
    <row r="20" spans="1:27" ht="25.5" x14ac:dyDescent="0.2">
      <c r="A20" t="str">
        <f t="shared" si="0"/>
        <v>S</v>
      </c>
      <c r="B20">
        <f t="shared" si="1"/>
        <v>0</v>
      </c>
      <c r="C20">
        <f t="shared" ca="1" si="2"/>
        <v>1</v>
      </c>
      <c r="D20">
        <f t="shared" ca="1" si="3"/>
        <v>0</v>
      </c>
      <c r="E20">
        <f t="shared" ca="1" si="4"/>
        <v>0</v>
      </c>
      <c r="F20">
        <f t="shared" ca="1" si="5"/>
        <v>0</v>
      </c>
      <c r="G20">
        <f t="shared" ca="1" si="6"/>
        <v>7</v>
      </c>
      <c r="H20">
        <f t="shared" ca="1" si="7"/>
        <v>0</v>
      </c>
      <c r="I20">
        <f t="shared" ca="1" si="8"/>
        <v>0</v>
      </c>
      <c r="J20" s="120" t="s">
        <v>103</v>
      </c>
      <c r="K20" s="162" t="str">
        <f t="shared" ca="1" si="9"/>
        <v>1.0.7.</v>
      </c>
      <c r="L20" s="209" t="s">
        <v>238</v>
      </c>
      <c r="M20" s="209" t="s">
        <v>301</v>
      </c>
      <c r="N20" s="230" t="s">
        <v>308</v>
      </c>
      <c r="O20" s="229" t="s">
        <v>243</v>
      </c>
      <c r="P20" s="232">
        <v>53.28</v>
      </c>
      <c r="Q20" s="228">
        <v>119.41</v>
      </c>
      <c r="R20" s="231" t="s">
        <v>7</v>
      </c>
      <c r="S20" s="121">
        <f t="shared" ca="1" si="10"/>
        <v>145.94999999999999</v>
      </c>
      <c r="T20" s="98">
        <f t="shared" ca="1" si="11"/>
        <v>7776.22</v>
      </c>
      <c r="U20" s="13" t="str">
        <f t="shared" ca="1" si="12"/>
        <v>ACIMA REF.</v>
      </c>
      <c r="V20" s="4" t="str">
        <f ca="1">IF(OR($A20=0,$A20="S",$A20&gt;CFF!$A$9),"",MAX(V$12:OFFSET(V20,-1,0))+1)</f>
        <v/>
      </c>
      <c r="W20" s="9" t="str">
        <f t="shared" si="13"/>
        <v>SINAPI-72131</v>
      </c>
      <c r="X20" s="4" t="e">
        <f t="shared" ca="1" si="14"/>
        <v>#REF!</v>
      </c>
      <c r="Y20" s="121">
        <f t="shared" ca="1" si="15"/>
        <v>0</v>
      </c>
      <c r="Z20" s="132">
        <f ca="1">ROUND(IF(ISNUMBER(R20),R20,IF(LEFT(R20,3)="BDI",HLOOKUP(R20,DADOS!$T$37:$X$38,2,FALSE),0)),15-11*$X$5)</f>
        <v>0.2223</v>
      </c>
      <c r="AA20" s="4"/>
    </row>
    <row r="21" spans="1:27" x14ac:dyDescent="0.2">
      <c r="A21" t="str">
        <f>CHOOSE(1+LOG(1+2*(J21="Meta")+4*(J21="Nível 2")+8*(J21="Nível 3")+16*(J21="Nível 4")+32*(J21="Serviço"),2),0,1,2,3,4,"S")</f>
        <v>S</v>
      </c>
      <c r="B21">
        <f>IF(OR(A21="S",A21=0),0,IF(ISERROR(I21),H21,SMALL(H21:I21,1)))</f>
        <v>0</v>
      </c>
      <c r="C21">
        <f ca="1">IF($A21=1,OFFSET(C21,-1,0)+1,OFFSET(C21,-1,0))</f>
        <v>1</v>
      </c>
      <c r="D21">
        <f ca="1">IF($A21=1,0,IF($A21=2,OFFSET(D21,-1,0)+1,OFFSET(D21,-1,0)))</f>
        <v>0</v>
      </c>
      <c r="E21">
        <f ca="1">IF(AND($A21&lt;=2,$A21&lt;&gt;0),0,IF($A21=3,OFFSET(E21,-1,0)+1,OFFSET(E21,-1,0)))</f>
        <v>0</v>
      </c>
      <c r="F21">
        <f ca="1">IF(AND($A21&lt;=3,$A21&lt;&gt;0),0,IF($A21=4,OFFSET(F21,-1,0)+1,OFFSET(F21,-1,0)))</f>
        <v>0</v>
      </c>
      <c r="G21">
        <f ca="1">IF(AND($A21&lt;=4,$A21&lt;&gt;0),0,IF($A21="S",OFFSET(G21,-1,0)+1,OFFSET(G21,-1,0)))</f>
        <v>8</v>
      </c>
      <c r="H21">
        <f t="shared" ca="1" si="7"/>
        <v>0</v>
      </c>
      <c r="I21">
        <f t="shared" ca="1" si="8"/>
        <v>0</v>
      </c>
      <c r="J21" s="120" t="s">
        <v>103</v>
      </c>
      <c r="K21" s="162" t="str">
        <f ca="1">IF($A21=0,"-",CONCATENATE(C21&amp;".",IF(AND($A$5&gt;=2,$A21&gt;=2),D21&amp;".",""),IF(AND($A$5&gt;=3,$A21&gt;=3),E21&amp;".",""),IF(AND($A$5&gt;=4,$A21&gt;=4),F21&amp;".",""),IF($A21="S",G21&amp;".","")))</f>
        <v>1.0.8.</v>
      </c>
      <c r="L21" s="209" t="s">
        <v>238</v>
      </c>
      <c r="M21" s="209" t="s">
        <v>302</v>
      </c>
      <c r="N21" s="230" t="s">
        <v>310</v>
      </c>
      <c r="O21" s="229" t="s">
        <v>244</v>
      </c>
      <c r="P21" s="232">
        <v>13.01</v>
      </c>
      <c r="Q21" s="228">
        <v>20.45</v>
      </c>
      <c r="R21" s="231" t="s">
        <v>7</v>
      </c>
      <c r="S21" s="121">
        <f t="shared" ref="S21:S28" ca="1" si="16">IF($A21="S",IF($Q$10="Preço Unitário (R$)",PO.CustoUnitario,ROUND(PO.CustoUnitario*(1+$Z21),15-13*$X$6)),0)</f>
        <v>25</v>
      </c>
      <c r="T21" s="98">
        <f t="shared" ref="T21:T28" ca="1" si="17">IF($A21="S",VTOTAL1,IF($A21=0,0,ROUND(SomaAgrup,15-13*$X$7)))</f>
        <v>325.25</v>
      </c>
      <c r="U21" s="13" t="str">
        <f ca="1">IF($J21="","",IF($N21="","DESCRIÇÃO",IF(AND($J21="Serviço",$O21=""),"UNIDADE",IF($T21&lt;=0,"SEM VALOR",IF(AND($Y21&lt;&gt;"",$Q21&gt;$Y21),"ACIMA REF.","")))))</f>
        <v>ACIMA REF.</v>
      </c>
      <c r="V21" s="4" t="str">
        <f ca="1">IF(OR($A21=0,$A21="S",$A21&gt;CFF!$A$9),"",MAX(V$12:OFFSET(V21,-1,0))+1)</f>
        <v/>
      </c>
      <c r="W21" s="9" t="str">
        <f>IF(AND($J21="Serviço",$M21&lt;&gt;""),IF($L21="",$M21,CONCATENATE($L21,"-",$M21)))</f>
        <v>SINAPI-72897</v>
      </c>
      <c r="X21" s="4" t="e">
        <f t="shared" ref="X21:X28" ca="1" si="18">IF(AND(Fonte&lt;&gt;"",Código&lt;&gt;""),MATCH(Fonte&amp;" "&amp;IF(Fonte="sinapi",SUBSTITUTE(SUBSTITUTE(Código,"/00","/"),"/0","/"),Código),INDIRECT("'[Referência "&amp;_xlnm.Database&amp;".xls]Banco'!$a:$a"),0),"X")</f>
        <v>#REF!</v>
      </c>
      <c r="Y21" s="121">
        <f ca="1">IF(Import.Desoneracao="sim",Referencia.Desonerado,Referencia.NaoDesonerado)</f>
        <v>0</v>
      </c>
      <c r="Z21" s="132">
        <f ca="1">ROUND(IF(ISNUMBER(R21),R21,IF(LEFT(R21,3)="BDI",HLOOKUP(R21,DADOS!$T$37:$X$38,2,FALSE),0)),15-11*$X$5)</f>
        <v>0.2223</v>
      </c>
      <c r="AA21" s="4"/>
    </row>
    <row r="22" spans="1:27" x14ac:dyDescent="0.2">
      <c r="A22" t="str">
        <f>CHOOSE(1+LOG(1+2*(J22="Meta")+4*(J22="Nível 2")+8*(J22="Nível 3")+16*(J22="Nível 4")+32*(J22="Serviço"),2),0,1,2,3,4,"S")</f>
        <v>S</v>
      </c>
      <c r="B22">
        <f>IF(OR(A22="S",A22=0),0,IF(ISERROR(I22),H22,SMALL(H22:I22,1)))</f>
        <v>0</v>
      </c>
      <c r="C22">
        <f ca="1">IF($A22=1,OFFSET(C22,-1,0)+1,OFFSET(C22,-1,0))</f>
        <v>1</v>
      </c>
      <c r="D22">
        <f ca="1">IF($A22=1,0,IF($A22=2,OFFSET(D22,-1,0)+1,OFFSET(D22,-1,0)))</f>
        <v>0</v>
      </c>
      <c r="E22">
        <f ca="1">IF(AND($A22&lt;=2,$A22&lt;&gt;0),0,IF($A22=3,OFFSET(E22,-1,0)+1,OFFSET(E22,-1,0)))</f>
        <v>0</v>
      </c>
      <c r="F22">
        <f ca="1">IF(AND($A22&lt;=3,$A22&lt;&gt;0),0,IF($A22=4,OFFSET(F22,-1,0)+1,OFFSET(F22,-1,0)))</f>
        <v>0</v>
      </c>
      <c r="G22">
        <f ca="1">IF(AND($A22&lt;=4,$A22&lt;&gt;0),0,IF($A22="S",OFFSET(G22,-1,0)+1,OFFSET(G22,-1,0)))</f>
        <v>9</v>
      </c>
      <c r="H22">
        <f t="shared" ca="1" si="7"/>
        <v>0</v>
      </c>
      <c r="I22">
        <f t="shared" ca="1" si="8"/>
        <v>0</v>
      </c>
      <c r="J22" s="120" t="s">
        <v>103</v>
      </c>
      <c r="K22" s="162" t="str">
        <f ca="1">IF($A22=0,"-",CONCATENATE(C22&amp;".",IF(AND($A$5&gt;=2,$A22&gt;=2),D22&amp;".",""),IF(AND($A$5&gt;=3,$A22&gt;=3),E22&amp;".",""),IF(AND($A$5&gt;=4,$A22&gt;=4),F22&amp;".",""),IF($A22="S",G22&amp;".","")))</f>
        <v>1.0.9.</v>
      </c>
      <c r="L22" s="209" t="s">
        <v>238</v>
      </c>
      <c r="M22" s="209" t="s">
        <v>303</v>
      </c>
      <c r="N22" s="230" t="s">
        <v>309</v>
      </c>
      <c r="O22" s="229" t="s">
        <v>244</v>
      </c>
      <c r="P22" s="232">
        <v>13.01</v>
      </c>
      <c r="Q22" s="228">
        <v>3.78</v>
      </c>
      <c r="R22" s="231" t="s">
        <v>7</v>
      </c>
      <c r="S22" s="121">
        <f t="shared" ca="1" si="16"/>
        <v>4.62</v>
      </c>
      <c r="T22" s="98">
        <f t="shared" ca="1" si="17"/>
        <v>60.11</v>
      </c>
      <c r="U22" s="13" t="str">
        <f ca="1">IF($J22="","",IF($N22="","DESCRIÇÃO",IF(AND($J22="Serviço",$O22=""),"UNIDADE",IF($T22&lt;=0,"SEM VALOR",IF(AND($Y22&lt;&gt;"",$Q22&gt;$Y22),"ACIMA REF.","")))))</f>
        <v>ACIMA REF.</v>
      </c>
      <c r="V22" s="4" t="str">
        <f ca="1">IF(OR($A22=0,$A22="S",$A22&gt;CFF!$A$9),"",MAX(V$12:OFFSET(V22,-1,0))+1)</f>
        <v/>
      </c>
      <c r="W22" s="9" t="str">
        <f>IF(AND($J22="Serviço",$M22&lt;&gt;""),IF($L22="",$M22,CONCATENATE($L22,"-",$M22)))</f>
        <v>SINAPI-72899</v>
      </c>
      <c r="X22" s="4" t="e">
        <f t="shared" ca="1" si="18"/>
        <v>#REF!</v>
      </c>
      <c r="Y22" s="121">
        <f ca="1">IF(Import.Desoneracao="sim",Referencia.Desonerado,Referencia.NaoDesonerado)</f>
        <v>0</v>
      </c>
      <c r="Z22" s="132">
        <f ca="1">ROUND(IF(ISNUMBER(R22),R22,IF(LEFT(R22,3)="BDI",HLOOKUP(R22,DADOS!$T$37:$X$38,2,FALSE),0)),15-11*$X$5)</f>
        <v>0.2223</v>
      </c>
      <c r="AA22" s="4"/>
    </row>
    <row r="23" spans="1:27" x14ac:dyDescent="0.2">
      <c r="A23" t="str">
        <f t="shared" ref="A23:A24" si="19">CHOOSE(1+LOG(1+2*(J23="Meta")+4*(J23="Nível 2")+8*(J23="Nível 3")+16*(J23="Nível 4")+32*(J23="Serviço"),2),0,1,2,3,4,"S")</f>
        <v>S</v>
      </c>
      <c r="B23">
        <f t="shared" ref="B23:B24" si="20">IF(OR(A23="S",A23=0),0,IF(ISERROR(I23),H23,SMALL(H23:I23,1)))</f>
        <v>0</v>
      </c>
      <c r="C23">
        <f t="shared" ref="C23:C24" ca="1" si="21">IF($A23=1,OFFSET(C23,-1,0)+1,OFFSET(C23,-1,0))</f>
        <v>1</v>
      </c>
      <c r="D23">
        <f t="shared" ref="D23:D24" ca="1" si="22">IF($A23=1,0,IF($A23=2,OFFSET(D23,-1,0)+1,OFFSET(D23,-1,0)))</f>
        <v>0</v>
      </c>
      <c r="E23">
        <f t="shared" ref="E23:E24" ca="1" si="23">IF(AND($A23&lt;=2,$A23&lt;&gt;0),0,IF($A23=3,OFFSET(E23,-1,0)+1,OFFSET(E23,-1,0)))</f>
        <v>0</v>
      </c>
      <c r="F23">
        <f t="shared" ref="F23:F24" ca="1" si="24">IF(AND($A23&lt;=3,$A23&lt;&gt;0),0,IF($A23=4,OFFSET(F23,-1,0)+1,OFFSET(F23,-1,0)))</f>
        <v>0</v>
      </c>
      <c r="G23">
        <f t="shared" ref="G23:G24" ca="1" si="25">IF(AND($A23&lt;=4,$A23&lt;&gt;0),0,IF($A23="S",OFFSET(G23,-1,0)+1,OFFSET(G23,-1,0)))</f>
        <v>10</v>
      </c>
      <c r="H23">
        <f t="shared" ca="1" si="7"/>
        <v>0</v>
      </c>
      <c r="I23">
        <f t="shared" ca="1" si="8"/>
        <v>0</v>
      </c>
      <c r="J23" s="120" t="s">
        <v>103</v>
      </c>
      <c r="K23" s="162" t="str">
        <f t="shared" ref="K23:K24" ca="1" si="26">IF($A23=0,"-",CONCATENATE(C23&amp;".",IF(AND($A$5&gt;=2,$A23&gt;=2),D23&amp;".",""),IF(AND($A$5&gt;=3,$A23&gt;=3),E23&amp;".",""),IF(AND($A$5&gt;=4,$A23&gt;=4),F23&amp;".",""),IF($A23="S",G23&amp;".","")))</f>
        <v>1.0.10.</v>
      </c>
      <c r="L23" s="209" t="s">
        <v>238</v>
      </c>
      <c r="M23" s="209" t="s">
        <v>395</v>
      </c>
      <c r="N23" s="230" t="s">
        <v>408</v>
      </c>
      <c r="O23" s="229" t="s">
        <v>243</v>
      </c>
      <c r="P23" s="232">
        <v>14.64</v>
      </c>
      <c r="Q23" s="228">
        <v>22.72</v>
      </c>
      <c r="R23" s="231" t="s">
        <v>7</v>
      </c>
      <c r="S23" s="121">
        <f t="shared" ca="1" si="16"/>
        <v>27.77</v>
      </c>
      <c r="T23" s="98">
        <f t="shared" ca="1" si="17"/>
        <v>406.55</v>
      </c>
      <c r="U23" s="13" t="str">
        <f t="shared" ref="U23:U24" ca="1" si="27">IF($J23="","",IF($N23="","DESCRIÇÃO",IF(AND($J23="Serviço",$O23=""),"UNIDADE",IF($T23&lt;=0,"SEM VALOR",IF(AND($Y23&lt;&gt;"",$Q23&gt;$Y23),"ACIMA REF.","")))))</f>
        <v>ACIMA REF.</v>
      </c>
      <c r="V23" s="4" t="str">
        <f ca="1">IF(OR($A23=0,$A23="S",$A23&gt;CFF!$A$9),"",MAX(V$12:OFFSET(V23,-1,0))+1)</f>
        <v/>
      </c>
      <c r="W23" s="9" t="str">
        <f t="shared" ref="W23:W24" si="28">IF(AND($J23="Serviço",$M23&lt;&gt;""),IF($L23="",$M23,CONCATENATE($L23,"-",$M23)))</f>
        <v>SINAPI-97645</v>
      </c>
      <c r="X23" s="4" t="e">
        <f t="shared" ca="1" si="18"/>
        <v>#REF!</v>
      </c>
      <c r="Y23" s="121">
        <f ca="1">IF(Import.Desoneracao="sim",Referencia.Desonerado,Referencia.NaoDesonerado)</f>
        <v>0</v>
      </c>
      <c r="Z23" s="132">
        <f ca="1">ROUND(IF(ISNUMBER(R23),R23,IF(LEFT(R23,3)="BDI",HLOOKUP(R23,DADOS!$T$37:$X$38,2,FALSE),0)),15-11*$X$5)</f>
        <v>0.2223</v>
      </c>
      <c r="AA23" s="4"/>
    </row>
    <row r="24" spans="1:27" x14ac:dyDescent="0.2">
      <c r="A24" t="str">
        <f t="shared" si="19"/>
        <v>S</v>
      </c>
      <c r="B24">
        <f t="shared" si="20"/>
        <v>0</v>
      </c>
      <c r="C24">
        <f t="shared" ca="1" si="21"/>
        <v>1</v>
      </c>
      <c r="D24">
        <f t="shared" ca="1" si="22"/>
        <v>0</v>
      </c>
      <c r="E24">
        <f t="shared" ca="1" si="23"/>
        <v>0</v>
      </c>
      <c r="F24">
        <f t="shared" ca="1" si="24"/>
        <v>0</v>
      </c>
      <c r="G24">
        <f t="shared" ca="1" si="25"/>
        <v>11</v>
      </c>
      <c r="H24">
        <f t="shared" ca="1" si="7"/>
        <v>0</v>
      </c>
      <c r="I24">
        <f t="shared" ca="1" si="8"/>
        <v>0</v>
      </c>
      <c r="J24" s="120" t="s">
        <v>103</v>
      </c>
      <c r="K24" s="162" t="str">
        <f t="shared" ca="1" si="26"/>
        <v>1.0.11.</v>
      </c>
      <c r="L24" s="209" t="s">
        <v>238</v>
      </c>
      <c r="M24" s="209" t="s">
        <v>396</v>
      </c>
      <c r="N24" s="230" t="s">
        <v>409</v>
      </c>
      <c r="O24" s="229" t="s">
        <v>243</v>
      </c>
      <c r="P24" s="232">
        <v>33</v>
      </c>
      <c r="Q24" s="228">
        <v>6.88</v>
      </c>
      <c r="R24" s="231" t="s">
        <v>7</v>
      </c>
      <c r="S24" s="121">
        <f t="shared" ca="1" si="16"/>
        <v>8.41</v>
      </c>
      <c r="T24" s="98">
        <f t="shared" ca="1" si="17"/>
        <v>277.52999999999997</v>
      </c>
      <c r="U24" s="13" t="str">
        <f t="shared" ca="1" si="27"/>
        <v>ACIMA REF.</v>
      </c>
      <c r="V24" s="4" t="str">
        <f ca="1">IF(OR($A24=0,$A24="S",$A24&gt;CFF!$A$9),"",MAX(V$12:OFFSET(V24,-1,0))+1)</f>
        <v/>
      </c>
      <c r="W24" s="9" t="str">
        <f t="shared" si="28"/>
        <v>SINAPI-97644</v>
      </c>
      <c r="X24" s="4" t="e">
        <f t="shared" ca="1" si="18"/>
        <v>#REF!</v>
      </c>
      <c r="Y24" s="121">
        <f ca="1">IF(Import.Desoneracao="sim",Referencia.Desonerado,Referencia.NaoDesonerado)</f>
        <v>0</v>
      </c>
      <c r="Z24" s="132">
        <f ca="1">ROUND(IF(ISNUMBER(R24),R24,IF(LEFT(R24,3)="BDI",HLOOKUP(R24,DADOS!$T$37:$X$38,2,FALSE),0)),15-11*$X$5)</f>
        <v>0.2223</v>
      </c>
      <c r="AA24" s="4"/>
    </row>
    <row r="25" spans="1:27" x14ac:dyDescent="0.2">
      <c r="A25">
        <f t="shared" ref="A25:A28" si="29">CHOOSE(1+LOG(1+2*(J25="Meta")+4*(J25="Nível 2")+8*(J25="Nível 3")+16*(J25="Nível 4")+32*(J25="Serviço"),2),0,1,2,3,4,"S")</f>
        <v>1</v>
      </c>
      <c r="B25">
        <f t="shared" ref="B25:B28" ca="1" si="30">IF(OR(A25="S",A25=0),0,IF(ISERROR(I25),H25,SMALL(H25:I25,1)))</f>
        <v>5</v>
      </c>
      <c r="C25">
        <f t="shared" ref="C25:C28" ca="1" si="31">IF($A25=1,OFFSET(C25,-1,0)+1,OFFSET(C25,-1,0))</f>
        <v>2</v>
      </c>
      <c r="D25">
        <f t="shared" ref="D25:D28" ca="1" si="32">IF($A25=1,0,IF($A25=2,OFFSET(D25,-1,0)+1,OFFSET(D25,-1,0)))</f>
        <v>0</v>
      </c>
      <c r="E25">
        <f t="shared" ref="E25:E28" ca="1" si="33">IF(AND($A25&lt;=2,$A25&lt;&gt;0),0,IF($A25=3,OFFSET(E25,-1,0)+1,OFFSET(E25,-1,0)))</f>
        <v>0</v>
      </c>
      <c r="F25">
        <f t="shared" ref="F25:F28" ca="1" si="34">IF(AND($A25&lt;=3,$A25&lt;&gt;0),0,IF($A25=4,OFFSET(F25,-1,0)+1,OFFSET(F25,-1,0)))</f>
        <v>0</v>
      </c>
      <c r="G25">
        <f t="shared" ref="G25:G28" ca="1" si="35">IF(AND($A25&lt;=4,$A25&lt;&gt;0),0,IF($A25="S",OFFSET(G25,-1,0)+1,OFFSET(G25,-1,0)))</f>
        <v>0</v>
      </c>
      <c r="H25">
        <f t="shared" ca="1" si="7"/>
        <v>109</v>
      </c>
      <c r="I25">
        <f t="shared" ca="1" si="8"/>
        <v>5</v>
      </c>
      <c r="J25" s="120" t="s">
        <v>99</v>
      </c>
      <c r="K25" s="162" t="str">
        <f t="shared" ref="K25:K28" ca="1" si="36">IF($A25=0,"-",CONCATENATE(C25&amp;".",IF(AND($A$5&gt;=2,$A25&gt;=2),D25&amp;".",""),IF(AND($A$5&gt;=3,$A25&gt;=3),E25&amp;".",""),IF(AND($A$5&gt;=4,$A25&gt;=4),F25&amp;".",""),IF($A25="S",G25&amp;".","")))</f>
        <v>2.</v>
      </c>
      <c r="L25" s="209"/>
      <c r="M25" s="209"/>
      <c r="N25" s="230" t="s">
        <v>277</v>
      </c>
      <c r="O25" s="229" t="str">
        <f ca="1">Referencia.Unidade</f>
        <v/>
      </c>
      <c r="P25" s="232"/>
      <c r="Q25" s="228"/>
      <c r="R25" s="231" t="s">
        <v>7</v>
      </c>
      <c r="S25" s="121">
        <f t="shared" si="16"/>
        <v>0</v>
      </c>
      <c r="T25" s="98">
        <f t="shared" ca="1" si="17"/>
        <v>58847.37</v>
      </c>
      <c r="U25" s="13" t="str">
        <f t="shared" ref="U25:U28" ca="1" si="37">IF($J25="","",IF($N25="","DESCRIÇÃO",IF(AND($J25="Serviço",$O25=""),"UNIDADE",IF($T25&lt;=0,"SEM VALOR",IF(AND($Y25&lt;&gt;"",$Q25&gt;$Y25),"ACIMA REF.","")))))</f>
        <v/>
      </c>
      <c r="V25" s="4">
        <f ca="1">IF(OR($A25=0,$A25="S",$A25&gt;CFF!$A$9),"",MAX(V$12:OFFSET(V25,-1,0))+1)</f>
        <v>2</v>
      </c>
      <c r="W25" s="9" t="b">
        <f t="shared" ref="W25:W28" si="38">IF(AND($J25="Serviço",$M25&lt;&gt;""),IF($L25="",$M25,CONCATENATE($L25,"-",$M25)))</f>
        <v>0</v>
      </c>
      <c r="X25" s="4" t="str">
        <f t="shared" ca="1" si="18"/>
        <v>X</v>
      </c>
      <c r="Y25" s="121">
        <f ca="1">IF(Import.Desoneracao="sim",Referencia.Desonerado,Referencia.NaoDesonerado)</f>
        <v>0</v>
      </c>
      <c r="Z25" s="132">
        <f ca="1">ROUND(IF(ISNUMBER(R25),R25,IF(LEFT(R25,3)="BDI",HLOOKUP(R25,DADOS!$T$37:$X$38,2,FALSE),0)),15-11*$X$5)</f>
        <v>0.2223</v>
      </c>
      <c r="AA25" s="4"/>
    </row>
    <row r="26" spans="1:27" ht="38.25" x14ac:dyDescent="0.2">
      <c r="A26" t="str">
        <f>CHOOSE(1+LOG(1+2*(J26="Meta")+4*(J26="Nível 2")+8*(J26="Nível 3")+16*(J26="Nível 4")+32*(J26="Serviço"),2),0,1,2,3,4,"S")</f>
        <v>S</v>
      </c>
      <c r="B26">
        <f>IF(OR(A26="S",A26=0),0,IF(ISERROR(I26),H26,SMALL(H26:I26,1)))</f>
        <v>0</v>
      </c>
      <c r="C26">
        <f ca="1">IF($A26=1,OFFSET(C26,-1,0)+1,OFFSET(C26,-1,0))</f>
        <v>2</v>
      </c>
      <c r="D26">
        <f ca="1">IF($A26=1,0,IF($A26=2,OFFSET(D26,-1,0)+1,OFFSET(D26,-1,0)))</f>
        <v>0</v>
      </c>
      <c r="E26">
        <f ca="1">IF(AND($A26&lt;=2,$A26&lt;&gt;0),0,IF($A26=3,OFFSET(E26,-1,0)+1,OFFSET(E26,-1,0)))</f>
        <v>0</v>
      </c>
      <c r="F26">
        <f ca="1">IF(AND($A26&lt;=3,$A26&lt;&gt;0),0,IF($A26=4,OFFSET(F26,-1,0)+1,OFFSET(F26,-1,0)))</f>
        <v>0</v>
      </c>
      <c r="G26">
        <f ca="1">IF(AND($A26&lt;=4,$A26&lt;&gt;0),0,IF($A26="S",OFFSET(G26,-1,0)+1,OFFSET(G26,-1,0)))</f>
        <v>1</v>
      </c>
      <c r="H26">
        <f t="shared" ca="1" si="7"/>
        <v>0</v>
      </c>
      <c r="I26">
        <f t="shared" ca="1" si="8"/>
        <v>0</v>
      </c>
      <c r="J26" s="120" t="s">
        <v>103</v>
      </c>
      <c r="K26" s="162" t="str">
        <f ca="1">IF($A26=0,"-",CONCATENATE(C26&amp;".",IF(AND($A$5&gt;=2,$A26&gt;=2),D26&amp;".",""),IF(AND($A$5&gt;=3,$A26&gt;=3),E26&amp;".",""),IF(AND($A$5&gt;=4,$A26&gt;=4),F26&amp;".",""),IF($A26="S",G26&amp;".","")))</f>
        <v>2.0.1.</v>
      </c>
      <c r="L26" s="209" t="s">
        <v>238</v>
      </c>
      <c r="M26" s="209" t="s">
        <v>355</v>
      </c>
      <c r="N26" s="230" t="s">
        <v>378</v>
      </c>
      <c r="O26" s="229" t="s">
        <v>243</v>
      </c>
      <c r="P26" s="232">
        <v>1856.42</v>
      </c>
      <c r="Q26" s="228">
        <v>5.86</v>
      </c>
      <c r="R26" s="231" t="s">
        <v>7</v>
      </c>
      <c r="S26" s="121">
        <f ca="1">IF($A26="S",IF($Q$10="Preço Unitário (R$)",PO.CustoUnitario,ROUND(PO.CustoUnitario*(1+$Z26),15-13*$X$6)),0)</f>
        <v>7.16</v>
      </c>
      <c r="T26" s="98">
        <f ca="1">IF($A26="S",VTOTAL1,IF($A26=0,0,ROUND(SomaAgrup,15-13*$X$7)))</f>
        <v>13291.97</v>
      </c>
      <c r="U26" s="13" t="str">
        <f ca="1">IF($J26="","",IF($N26="","DESCRIÇÃO",IF(AND($J26="Serviço",$O26=""),"UNIDADE",IF($T26&lt;=0,"SEM VALOR",IF(AND($Y26&lt;&gt;"",$Q26&gt;$Y26),"ACIMA REF.","")))))</f>
        <v>ACIMA REF.</v>
      </c>
      <c r="V26" s="4" t="str">
        <f ca="1">IF(OR($A26=0,$A26="S",$A26&gt;CFF!$A$9),"",MAX(V$12:OFFSET(V26,-1,0))+1)</f>
        <v/>
      </c>
      <c r="W26" s="9" t="str">
        <f>IF(AND($J26="Serviço",$M26&lt;&gt;""),IF($L26="",$M26,CONCATENATE($L26,"-",$M26)))</f>
        <v>SINAPI-87908</v>
      </c>
      <c r="X26" s="4" t="e">
        <f ca="1">IF(AND(Fonte&lt;&gt;"",Código&lt;&gt;""),MATCH(Fonte&amp;" "&amp;IF(Fonte="sinapi",SUBSTITUTE(SUBSTITUTE(Código,"/00","/"),"/0","/"),Código),INDIRECT("'[Referência "&amp;_xlnm.Database&amp;".xls]Banco'!$a:$a"),0),"X")</f>
        <v>#REF!</v>
      </c>
      <c r="Y26" s="121">
        <f ca="1">IF(Import.Desoneracao="sim",Referencia.Desonerado,Referencia.NaoDesonerado)</f>
        <v>0</v>
      </c>
      <c r="Z26" s="132">
        <f ca="1">ROUND(IF(ISNUMBER(R26),R26,IF(LEFT(R26,3)="BDI",HLOOKUP(R26,DADOS!$T$37:$X$38,2,FALSE),0)),15-11*$X$5)</f>
        <v>0.2223</v>
      </c>
      <c r="AA26" s="4"/>
    </row>
    <row r="27" spans="1:27" ht="38.25" x14ac:dyDescent="0.2">
      <c r="A27" t="str">
        <f t="shared" si="29"/>
        <v>S</v>
      </c>
      <c r="B27">
        <f t="shared" si="30"/>
        <v>0</v>
      </c>
      <c r="C27">
        <f t="shared" ca="1" si="31"/>
        <v>2</v>
      </c>
      <c r="D27">
        <f t="shared" ca="1" si="32"/>
        <v>0</v>
      </c>
      <c r="E27">
        <f t="shared" ca="1" si="33"/>
        <v>0</v>
      </c>
      <c r="F27">
        <f t="shared" ca="1" si="34"/>
        <v>0</v>
      </c>
      <c r="G27">
        <f t="shared" ca="1" si="35"/>
        <v>2</v>
      </c>
      <c r="H27">
        <f t="shared" ca="1" si="7"/>
        <v>0</v>
      </c>
      <c r="I27">
        <f t="shared" ca="1" si="8"/>
        <v>0</v>
      </c>
      <c r="J27" s="120" t="s">
        <v>103</v>
      </c>
      <c r="K27" s="162" t="str">
        <f t="shared" ca="1" si="36"/>
        <v>2.0.2.</v>
      </c>
      <c r="L27" s="209" t="s">
        <v>238</v>
      </c>
      <c r="M27" s="209" t="s">
        <v>278</v>
      </c>
      <c r="N27" s="230" t="s">
        <v>311</v>
      </c>
      <c r="O27" s="229" t="s">
        <v>243</v>
      </c>
      <c r="P27" s="232">
        <v>539.82000000000005</v>
      </c>
      <c r="Q27" s="228">
        <v>42.26</v>
      </c>
      <c r="R27" s="231" t="s">
        <v>7</v>
      </c>
      <c r="S27" s="121">
        <f t="shared" ca="1" si="16"/>
        <v>51.65</v>
      </c>
      <c r="T27" s="98">
        <f t="shared" ca="1" si="17"/>
        <v>27881.7</v>
      </c>
      <c r="U27" s="13" t="str">
        <f t="shared" ca="1" si="37"/>
        <v>ACIMA REF.</v>
      </c>
      <c r="V27" s="4" t="str">
        <f ca="1">IF(OR($A27=0,$A27="S",$A27&gt;CFF!$A$9),"",MAX(V$12:OFFSET(V27,-1,0))+1)</f>
        <v/>
      </c>
      <c r="W27" s="9" t="str">
        <f t="shared" si="38"/>
        <v>SINAPI-87775</v>
      </c>
      <c r="X27" s="4" t="e">
        <f t="shared" ca="1" si="18"/>
        <v>#REF!</v>
      </c>
      <c r="Y27" s="121">
        <f ca="1">IF(Import.Desoneracao="sim",Referencia.Desonerado,Referencia.NaoDesonerado)</f>
        <v>0</v>
      </c>
      <c r="Z27" s="132">
        <f ca="1">ROUND(IF(ISNUMBER(R27),R27,IF(LEFT(R27,3)="BDI",HLOOKUP(R27,DADOS!$T$37:$X$38,2,FALSE),0)),15-11*$X$5)</f>
        <v>0.2223</v>
      </c>
      <c r="AA27" s="4"/>
    </row>
    <row r="28" spans="1:27" x14ac:dyDescent="0.2">
      <c r="A28" t="str">
        <f t="shared" si="29"/>
        <v>S</v>
      </c>
      <c r="B28">
        <f t="shared" si="30"/>
        <v>0</v>
      </c>
      <c r="C28">
        <f t="shared" ca="1" si="31"/>
        <v>2</v>
      </c>
      <c r="D28">
        <f t="shared" ca="1" si="32"/>
        <v>0</v>
      </c>
      <c r="E28">
        <f t="shared" ca="1" si="33"/>
        <v>0</v>
      </c>
      <c r="F28">
        <f t="shared" ca="1" si="34"/>
        <v>0</v>
      </c>
      <c r="G28">
        <f t="shared" ca="1" si="35"/>
        <v>3</v>
      </c>
      <c r="H28">
        <f t="shared" ca="1" si="7"/>
        <v>0</v>
      </c>
      <c r="I28">
        <f t="shared" ca="1" si="8"/>
        <v>0</v>
      </c>
      <c r="J28" s="120" t="s">
        <v>103</v>
      </c>
      <c r="K28" s="162" t="str">
        <f t="shared" ca="1" si="36"/>
        <v>2.0.3.</v>
      </c>
      <c r="L28" s="209" t="s">
        <v>238</v>
      </c>
      <c r="M28" s="209" t="s">
        <v>279</v>
      </c>
      <c r="N28" s="230" t="s">
        <v>312</v>
      </c>
      <c r="O28" s="229" t="s">
        <v>243</v>
      </c>
      <c r="P28" s="232">
        <v>539.82000000000005</v>
      </c>
      <c r="Q28" s="228">
        <v>13.66</v>
      </c>
      <c r="R28" s="231" t="s">
        <v>7</v>
      </c>
      <c r="S28" s="121">
        <f t="shared" ca="1" si="16"/>
        <v>16.7</v>
      </c>
      <c r="T28" s="98">
        <f t="shared" ca="1" si="17"/>
        <v>9014.99</v>
      </c>
      <c r="U28" s="13" t="str">
        <f t="shared" ca="1" si="37"/>
        <v>ACIMA REF.</v>
      </c>
      <c r="V28" s="4" t="str">
        <f ca="1">IF(OR($A28=0,$A28="S",$A28&gt;CFF!$A$9),"",MAX(V$12:OFFSET(V28,-1,0))+1)</f>
        <v/>
      </c>
      <c r="W28" s="9" t="str">
        <f t="shared" si="38"/>
        <v>SINAPI-95305</v>
      </c>
      <c r="X28" s="4" t="e">
        <f t="shared" ca="1" si="18"/>
        <v>#REF!</v>
      </c>
      <c r="Y28" s="121">
        <f ca="1">IF(Import.Desoneracao="sim",Referencia.Desonerado,Referencia.NaoDesonerado)</f>
        <v>0</v>
      </c>
      <c r="Z28" s="132">
        <f ca="1">ROUND(IF(ISNUMBER(R28),R28,IF(LEFT(R28,3)="BDI",HLOOKUP(R28,DADOS!$T$37:$X$38,2,FALSE),0)),15-11*$X$5)</f>
        <v>0.2223</v>
      </c>
      <c r="AA28" s="4"/>
    </row>
    <row r="29" spans="1:27" ht="25.5" x14ac:dyDescent="0.2">
      <c r="A29" t="str">
        <f>CHOOSE(1+LOG(1+2*(J29="Meta")+4*(J29="Nível 2")+8*(J29="Nível 3")+16*(J29="Nível 4")+32*(J29="Serviço"),2),0,1,2,3,4,"S")</f>
        <v>S</v>
      </c>
      <c r="B29">
        <f>IF(OR(A29="S",A29=0),0,IF(ISERROR(I29),H29,SMALL(H29:I29,1)))</f>
        <v>0</v>
      </c>
      <c r="C29">
        <f ca="1">IF($A29=1,OFFSET(C29,-1,0)+1,OFFSET(C29,-1,0))</f>
        <v>2</v>
      </c>
      <c r="D29">
        <f ca="1">IF($A29=1,0,IF($A29=2,OFFSET(D29,-1,0)+1,OFFSET(D29,-1,0)))</f>
        <v>0</v>
      </c>
      <c r="E29">
        <f ca="1">IF(AND($A29&lt;=2,$A29&lt;&gt;0),0,IF($A29=3,OFFSET(E29,-1,0)+1,OFFSET(E29,-1,0)))</f>
        <v>0</v>
      </c>
      <c r="F29">
        <f ca="1">IF(AND($A29&lt;=3,$A29&lt;&gt;0),0,IF($A29=4,OFFSET(F29,-1,0)+1,OFFSET(F29,-1,0)))</f>
        <v>0</v>
      </c>
      <c r="G29">
        <f ca="1">IF(AND($A29&lt;=4,$A29&lt;&gt;0),0,IF($A29="S",OFFSET(G29,-1,0)+1,OFFSET(G29,-1,0)))</f>
        <v>4</v>
      </c>
      <c r="H29">
        <f t="shared" ca="1" si="7"/>
        <v>0</v>
      </c>
      <c r="I29">
        <f t="shared" ca="1" si="8"/>
        <v>0</v>
      </c>
      <c r="J29" s="120" t="s">
        <v>103</v>
      </c>
      <c r="K29" s="162" t="str">
        <f ca="1">IF($A29=0,"-",CONCATENATE(C29&amp;".",IF(AND($A$5&gt;=2,$A29&gt;=2),D29&amp;".",""),IF(AND($A$5&gt;=3,$A29&gt;=3),E29&amp;".",""),IF(AND($A$5&gt;=4,$A29&gt;=4),F29&amp;".",""),IF($A29="S",G29&amp;".","")))</f>
        <v>2.0.4.</v>
      </c>
      <c r="L29" s="209" t="s">
        <v>238</v>
      </c>
      <c r="M29" s="209" t="s">
        <v>356</v>
      </c>
      <c r="N29" s="230" t="s">
        <v>379</v>
      </c>
      <c r="O29" s="229" t="s">
        <v>243</v>
      </c>
      <c r="P29" s="232">
        <v>539.82000000000005</v>
      </c>
      <c r="Q29" s="228">
        <v>13.12</v>
      </c>
      <c r="R29" s="231" t="s">
        <v>7</v>
      </c>
      <c r="S29" s="121">
        <f ca="1">IF($A29="S",IF($Q$10="Preço Unitário (R$)",PO.CustoUnitario,ROUND(PO.CustoUnitario*(1+$Z29),15-13*$X$6)),0)</f>
        <v>16.04</v>
      </c>
      <c r="T29" s="98">
        <f ca="1">IF($A29="S",VTOTAL1,IF($A29=0,0,ROUND(SomaAgrup,15-13*$X$7)))</f>
        <v>8658.7099999999991</v>
      </c>
      <c r="U29" s="13" t="str">
        <f ca="1">IF($J29="","",IF($N29="","DESCRIÇÃO",IF(AND($J29="Serviço",$O29=""),"UNIDADE",IF($T29&lt;=0,"SEM VALOR",IF(AND($Y29&lt;&gt;"",$Q29&gt;$Y29),"ACIMA REF.","")))))</f>
        <v>ACIMA REF.</v>
      </c>
      <c r="V29" s="4" t="str">
        <f ca="1">IF(OR($A29=0,$A29="S",$A29&gt;CFF!$A$9),"",MAX(V$12:OFFSET(V29,-1,0))+1)</f>
        <v/>
      </c>
      <c r="W29" s="9" t="str">
        <f>IF(AND($J29="Serviço",$M29&lt;&gt;""),IF($L29="",$M29,CONCATENATE($L29,"-",$M29)))</f>
        <v>SINAPI-88489</v>
      </c>
      <c r="X29" s="4" t="e">
        <f ca="1">IF(AND(Fonte&lt;&gt;"",Código&lt;&gt;""),MATCH(Fonte&amp;" "&amp;IF(Fonte="sinapi",SUBSTITUTE(SUBSTITUTE(Código,"/00","/"),"/0","/"),Código),INDIRECT("'[Referência "&amp;_xlnm.Database&amp;".xls]Banco'!$a:$a"),0),"X")</f>
        <v>#REF!</v>
      </c>
      <c r="Y29" s="121">
        <f ca="1">IF(Import.Desoneracao="sim",Referencia.Desonerado,Referencia.NaoDesonerado)</f>
        <v>0</v>
      </c>
      <c r="Z29" s="132">
        <f ca="1">ROUND(IF(ISNUMBER(R29),R29,IF(LEFT(R29,3)="BDI",HLOOKUP(R29,DADOS!$T$37:$X$38,2,FALSE),0)),15-11*$X$5)</f>
        <v>0.2223</v>
      </c>
      <c r="AA29" s="4"/>
    </row>
    <row r="30" spans="1:27" x14ac:dyDescent="0.2">
      <c r="A30">
        <f t="shared" si="0"/>
        <v>1</v>
      </c>
      <c r="B30">
        <f t="shared" ca="1" si="1"/>
        <v>50</v>
      </c>
      <c r="C30">
        <f t="shared" ca="1" si="2"/>
        <v>3</v>
      </c>
      <c r="D30">
        <f t="shared" ca="1" si="3"/>
        <v>0</v>
      </c>
      <c r="E30">
        <f t="shared" ca="1" si="4"/>
        <v>0</v>
      </c>
      <c r="F30">
        <f t="shared" ca="1" si="5"/>
        <v>0</v>
      </c>
      <c r="G30">
        <f t="shared" ca="1" si="6"/>
        <v>0</v>
      </c>
      <c r="H30">
        <f t="shared" ca="1" si="7"/>
        <v>104</v>
      </c>
      <c r="I30">
        <f t="shared" ca="1" si="8"/>
        <v>50</v>
      </c>
      <c r="J30" s="120" t="s">
        <v>99</v>
      </c>
      <c r="K30" s="162" t="str">
        <f t="shared" ca="1" si="9"/>
        <v>3.</v>
      </c>
      <c r="L30" s="209" t="s">
        <v>238</v>
      </c>
      <c r="M30" s="209"/>
      <c r="N30" s="230" t="s">
        <v>269</v>
      </c>
      <c r="O30" s="229" t="str">
        <f ca="1">Referencia.Unidade</f>
        <v/>
      </c>
      <c r="P30" s="232"/>
      <c r="Q30" s="228"/>
      <c r="R30" s="231" t="s">
        <v>7</v>
      </c>
      <c r="S30" s="121">
        <f t="shared" si="10"/>
        <v>0</v>
      </c>
      <c r="T30" s="98">
        <f t="shared" ca="1" si="11"/>
        <v>232977.69</v>
      </c>
      <c r="U30" s="13" t="str">
        <f t="shared" ca="1" si="12"/>
        <v/>
      </c>
      <c r="V30" s="4">
        <f ca="1">IF(OR($A30=0,$A30="S",$A30&gt;CFF!$A$9),"",MAX(V$12:OFFSET(V30,-1,0))+1)</f>
        <v>3</v>
      </c>
      <c r="W30" s="9" t="b">
        <f t="shared" si="13"/>
        <v>0</v>
      </c>
      <c r="X30" s="4" t="str">
        <f t="shared" ca="1" si="14"/>
        <v>X</v>
      </c>
      <c r="Y30" s="121">
        <f t="shared" ca="1" si="15"/>
        <v>0</v>
      </c>
      <c r="Z30" s="132">
        <f ca="1">ROUND(IF(ISNUMBER(R30),R30,IF(LEFT(R30,3)="BDI",HLOOKUP(R30,DADOS!$T$37:$X$38,2,FALSE),0)),15-11*$X$5)</f>
        <v>0.2223</v>
      </c>
      <c r="AA30" s="4"/>
    </row>
    <row r="31" spans="1:27" x14ac:dyDescent="0.2">
      <c r="A31">
        <f>CHOOSE(1+LOG(1+2*(J31="Meta")+4*(J31="Nível 2")+8*(J31="Nível 3")+16*(J31="Nível 4")+32*(J31="Serviço"),2),0,1,2,3,4,"S")</f>
        <v>2</v>
      </c>
      <c r="B31">
        <f ca="1">IF(OR(A31="S",A31=0),0,IF(ISERROR(I31),H31,SMALL(H31:I31,1)))</f>
        <v>9</v>
      </c>
      <c r="C31">
        <f ca="1">IF($A31=1,OFFSET(C31,-1,0)+1,OFFSET(C31,-1,0))</f>
        <v>3</v>
      </c>
      <c r="D31">
        <f ca="1">IF($A31=1,0,IF($A31=2,OFFSET(D31,-1,0)+1,OFFSET(D31,-1,0)))</f>
        <v>1</v>
      </c>
      <c r="E31">
        <f ca="1">IF(AND($A31&lt;=2,$A31&lt;&gt;0),0,IF($A31=3,OFFSET(E31,-1,0)+1,OFFSET(E31,-1,0)))</f>
        <v>0</v>
      </c>
      <c r="F31">
        <f ca="1">IF(AND($A31&lt;=3,$A31&lt;&gt;0),0,IF($A31=4,OFFSET(F31,-1,0)+1,OFFSET(F31,-1,0)))</f>
        <v>0</v>
      </c>
      <c r="G31">
        <f ca="1">IF(AND($A31&lt;=4,$A31&lt;&gt;0),0,IF($A31="S",OFFSET(G31,-1,0)+1,OFFSET(G31,-1,0)))</f>
        <v>0</v>
      </c>
      <c r="H31">
        <f t="shared" ca="1" si="7"/>
        <v>49</v>
      </c>
      <c r="I31">
        <f t="shared" ca="1" si="8"/>
        <v>9</v>
      </c>
      <c r="J31" s="120" t="s">
        <v>100</v>
      </c>
      <c r="K31" s="162" t="str">
        <f ca="1">IF($A31=0,"-",CONCATENATE(C31&amp;".",IF(AND($A$5&gt;=2,$A31&gt;=2),D31&amp;".",""),IF(AND($A$5&gt;=3,$A31&gt;=3),E31&amp;".",""),IF(AND($A$5&gt;=4,$A31&gt;=4),F31&amp;".",""),IF($A31="S",G31&amp;".","")))</f>
        <v>3.1.</v>
      </c>
      <c r="L31" s="209"/>
      <c r="M31" s="209"/>
      <c r="N31" s="230" t="s">
        <v>248</v>
      </c>
      <c r="O31" s="229" t="str">
        <f ca="1">Referencia.Unidade</f>
        <v/>
      </c>
      <c r="P31" s="232"/>
      <c r="Q31" s="228"/>
      <c r="R31" s="231" t="s">
        <v>7</v>
      </c>
      <c r="S31" s="121">
        <f>IF($A31="S",IF($Q$10="Preço Unitário (R$)",PO.CustoUnitario,ROUND(PO.CustoUnitario*(1+$Z31),15-13*$X$6)),0)</f>
        <v>0</v>
      </c>
      <c r="T31" s="98">
        <f ca="1">IF($A31="S",VTOTAL1,IF($A31=0,0,ROUND(SomaAgrup,15-13*$X$7)))</f>
        <v>51581.4</v>
      </c>
      <c r="U31" s="13" t="str">
        <f ca="1">IF($J31="","",IF($N31="","DESCRIÇÃO",IF(AND($J31="Serviço",$O31=""),"UNIDADE",IF($T31&lt;=0,"SEM VALOR",IF(AND($Y31&lt;&gt;"",$Q31&gt;$Y31),"ACIMA REF.","")))))</f>
        <v/>
      </c>
      <c r="V31" s="4">
        <f ca="1">IF(OR($A31=0,$A31="S",$A31&gt;CFF!$A$9),"",MAX(V$12:OFFSET(V31,-1,0))+1)</f>
        <v>4</v>
      </c>
      <c r="W31" s="9" t="b">
        <f>IF(AND($J31="Serviço",$M31&lt;&gt;""),IF($L31="",$M31,CONCATENATE($L31,"-",$M31)))</f>
        <v>0</v>
      </c>
      <c r="X31" s="4" t="str">
        <f ca="1">IF(AND(Fonte&lt;&gt;"",Código&lt;&gt;""),MATCH(Fonte&amp;" "&amp;IF(Fonte="sinapi",SUBSTITUTE(SUBSTITUTE(Código,"/00","/"),"/0","/"),Código),INDIRECT("'[Referência "&amp;_xlnm.Database&amp;".xls]Banco'!$a:$a"),0),"X")</f>
        <v>X</v>
      </c>
      <c r="Y31" s="121">
        <f ca="1">IF(Import.Desoneracao="sim",Referencia.Desonerado,Referencia.NaoDesonerado)</f>
        <v>0</v>
      </c>
      <c r="Z31" s="132">
        <f ca="1">ROUND(IF(ISNUMBER(R31),R31,IF(LEFT(R31,3)="BDI",HLOOKUP(R31,DADOS!$T$37:$X$38,2,FALSE),0)),15-11*$X$5)</f>
        <v>0.2223</v>
      </c>
      <c r="AA31" s="4"/>
    </row>
    <row r="32" spans="1:27" x14ac:dyDescent="0.2">
      <c r="A32" t="str">
        <f t="shared" si="0"/>
        <v>S</v>
      </c>
      <c r="B32">
        <f t="shared" si="1"/>
        <v>0</v>
      </c>
      <c r="C32">
        <f t="shared" ca="1" si="2"/>
        <v>3</v>
      </c>
      <c r="D32">
        <f t="shared" ca="1" si="3"/>
        <v>1</v>
      </c>
      <c r="E32">
        <f t="shared" ca="1" si="4"/>
        <v>0</v>
      </c>
      <c r="F32">
        <f t="shared" ca="1" si="5"/>
        <v>0</v>
      </c>
      <c r="G32">
        <f t="shared" ca="1" si="6"/>
        <v>1</v>
      </c>
      <c r="H32">
        <f t="shared" ca="1" si="7"/>
        <v>0</v>
      </c>
      <c r="I32">
        <f t="shared" ca="1" si="8"/>
        <v>0</v>
      </c>
      <c r="J32" s="120" t="s">
        <v>103</v>
      </c>
      <c r="K32" s="162" t="str">
        <f t="shared" ca="1" si="9"/>
        <v>3.1.1.</v>
      </c>
      <c r="L32" s="209" t="s">
        <v>238</v>
      </c>
      <c r="M32" s="209" t="s">
        <v>270</v>
      </c>
      <c r="N32" s="230" t="s">
        <v>313</v>
      </c>
      <c r="O32" s="229" t="s">
        <v>244</v>
      </c>
      <c r="P32" s="232">
        <v>23.62</v>
      </c>
      <c r="Q32" s="228">
        <v>47.94</v>
      </c>
      <c r="R32" s="231" t="s">
        <v>7</v>
      </c>
      <c r="S32" s="121">
        <f t="shared" ca="1" si="10"/>
        <v>58.6</v>
      </c>
      <c r="T32" s="98">
        <f t="shared" ca="1" si="11"/>
        <v>1384.13</v>
      </c>
      <c r="U32" s="13" t="str">
        <f t="shared" ca="1" si="12"/>
        <v>ACIMA REF.</v>
      </c>
      <c r="V32" s="4" t="str">
        <f ca="1">IF(OR($A32=0,$A32="S",$A32&gt;CFF!$A$9),"",MAX(V$12:OFFSET(V32,-1,0))+1)</f>
        <v/>
      </c>
      <c r="W32" s="9" t="str">
        <f t="shared" si="13"/>
        <v>SINAPI-97082</v>
      </c>
      <c r="X32" s="4" t="e">
        <f t="shared" ca="1" si="14"/>
        <v>#REF!</v>
      </c>
      <c r="Y32" s="121">
        <f t="shared" ca="1" si="15"/>
        <v>0</v>
      </c>
      <c r="Z32" s="132">
        <f ca="1">ROUND(IF(ISNUMBER(R32),R32,IF(LEFT(R32,3)="BDI",HLOOKUP(R32,DADOS!$T$37:$X$38,2,FALSE),0)),15-11*$X$5)</f>
        <v>0.2223</v>
      </c>
      <c r="AA32" s="4"/>
    </row>
    <row r="33" spans="1:27" x14ac:dyDescent="0.2">
      <c r="A33" t="str">
        <f t="shared" si="0"/>
        <v>S</v>
      </c>
      <c r="B33">
        <f t="shared" si="1"/>
        <v>0</v>
      </c>
      <c r="C33">
        <f t="shared" ca="1" si="2"/>
        <v>3</v>
      </c>
      <c r="D33">
        <f t="shared" ca="1" si="3"/>
        <v>1</v>
      </c>
      <c r="E33">
        <f t="shared" ca="1" si="4"/>
        <v>0</v>
      </c>
      <c r="F33">
        <f t="shared" ca="1" si="5"/>
        <v>0</v>
      </c>
      <c r="G33">
        <f t="shared" ca="1" si="6"/>
        <v>2</v>
      </c>
      <c r="H33">
        <f t="shared" ca="1" si="7"/>
        <v>0</v>
      </c>
      <c r="I33">
        <f t="shared" ca="1" si="8"/>
        <v>0</v>
      </c>
      <c r="J33" s="120" t="s">
        <v>103</v>
      </c>
      <c r="K33" s="162" t="str">
        <f t="shared" ca="1" si="9"/>
        <v>3.1.2.</v>
      </c>
      <c r="L33" s="209" t="s">
        <v>238</v>
      </c>
      <c r="M33" s="209" t="s">
        <v>346</v>
      </c>
      <c r="N33" s="230" t="s">
        <v>350</v>
      </c>
      <c r="O33" s="229" t="s">
        <v>244</v>
      </c>
      <c r="P33" s="232">
        <v>11.81</v>
      </c>
      <c r="Q33" s="228">
        <v>84.18</v>
      </c>
      <c r="R33" s="231" t="s">
        <v>7</v>
      </c>
      <c r="S33" s="121">
        <f t="shared" ca="1" si="10"/>
        <v>102.89</v>
      </c>
      <c r="T33" s="98">
        <f t="shared" ca="1" si="11"/>
        <v>1215.1300000000001</v>
      </c>
      <c r="U33" s="13" t="str">
        <f t="shared" ca="1" si="12"/>
        <v>ACIMA REF.</v>
      </c>
      <c r="V33" s="4" t="str">
        <f ca="1">IF(OR($A33=0,$A33="S",$A33&gt;CFF!$A$9),"",MAX(V$12:OFFSET(V33,-1,0))+1)</f>
        <v/>
      </c>
      <c r="W33" s="9" t="str">
        <f t="shared" si="13"/>
        <v>SINAPI-96622</v>
      </c>
      <c r="X33" s="4" t="e">
        <f t="shared" ca="1" si="14"/>
        <v>#REF!</v>
      </c>
      <c r="Y33" s="121">
        <f t="shared" ca="1" si="15"/>
        <v>0</v>
      </c>
      <c r="Z33" s="132">
        <f ca="1">ROUND(IF(ISNUMBER(R33),R33,IF(LEFT(R33,3)="BDI",HLOOKUP(R33,DADOS!$T$37:$X$38,2,FALSE),0)),15-11*$X$5)</f>
        <v>0.2223</v>
      </c>
      <c r="AA33" s="4"/>
    </row>
    <row r="34" spans="1:27" x14ac:dyDescent="0.2">
      <c r="A34" t="str">
        <f>CHOOSE(1+LOG(1+2*(J34="Meta")+4*(J34="Nível 2")+8*(J34="Nível 3")+16*(J34="Nível 4")+32*(J34="Serviço"),2),0,1,2,3,4,"S")</f>
        <v>S</v>
      </c>
      <c r="B34">
        <f>IF(OR(A34="S",A34=0),0,IF(ISERROR(I34),H34,SMALL(H34:I34,1)))</f>
        <v>0</v>
      </c>
      <c r="C34">
        <f ca="1">IF($A34=1,OFFSET(C34,-1,0)+1,OFFSET(C34,-1,0))</f>
        <v>3</v>
      </c>
      <c r="D34">
        <f ca="1">IF($A34=1,0,IF($A34=2,OFFSET(D34,-1,0)+1,OFFSET(D34,-1,0)))</f>
        <v>1</v>
      </c>
      <c r="E34">
        <f ca="1">IF(AND($A34&lt;=2,$A34&lt;&gt;0),0,IF($A34=3,OFFSET(E34,-1,0)+1,OFFSET(E34,-1,0)))</f>
        <v>0</v>
      </c>
      <c r="F34">
        <f ca="1">IF(AND($A34&lt;=3,$A34&lt;&gt;0),0,IF($A34=4,OFFSET(F34,-1,0)+1,OFFSET(F34,-1,0)))</f>
        <v>0</v>
      </c>
      <c r="G34">
        <f ca="1">IF(AND($A34&lt;=4,$A34&lt;&gt;0),0,IF($A34="S",OFFSET(G34,-1,0)+1,OFFSET(G34,-1,0)))</f>
        <v>3</v>
      </c>
      <c r="H34">
        <f t="shared" ca="1" si="7"/>
        <v>0</v>
      </c>
      <c r="I34">
        <f t="shared" ca="1" si="8"/>
        <v>0</v>
      </c>
      <c r="J34" s="120" t="s">
        <v>103</v>
      </c>
      <c r="K34" s="162" t="str">
        <f ca="1">IF($A34=0,"-",CONCATENATE(C34&amp;".",IF(AND($A$5&gt;=2,$A34&gt;=2),D34&amp;".",""),IF(AND($A$5&gt;=3,$A34&gt;=3),E34&amp;".",""),IF(AND($A$5&gt;=4,$A34&gt;=4),F34&amp;".",""),IF($A34="S",G34&amp;".","")))</f>
        <v>3.1.3.</v>
      </c>
      <c r="L34" s="209" t="s">
        <v>240</v>
      </c>
      <c r="M34" s="209" t="s">
        <v>348</v>
      </c>
      <c r="N34" s="230" t="s">
        <v>349</v>
      </c>
      <c r="O34" s="229" t="s">
        <v>242</v>
      </c>
      <c r="P34" s="232">
        <v>236.24</v>
      </c>
      <c r="Q34" s="228">
        <v>1.08</v>
      </c>
      <c r="R34" s="231" t="s">
        <v>7</v>
      </c>
      <c r="S34" s="121">
        <f ca="1">IF($A34="S",IF($Q$10="Preço Unitário (R$)",PO.CustoUnitario,ROUND(PO.CustoUnitario*(1+$Z34),15-13*$X$6)),0)</f>
        <v>1.32</v>
      </c>
      <c r="T34" s="98">
        <f ca="1">IF($A34="S",VTOTAL1,IF($A34=0,0,ROUND(SomaAgrup,15-13*$X$7)))</f>
        <v>311.83999999999997</v>
      </c>
      <c r="U34" s="13" t="str">
        <f ca="1">IF($J34="","",IF($N34="","DESCRIÇÃO",IF(AND($J34="Serviço",$O34=""),"UNIDADE",IF($T34&lt;=0,"SEM VALOR",IF(AND($Y34&lt;&gt;"",$Q34&gt;$Y34),"ACIMA REF.","")))))</f>
        <v>ACIMA REF.</v>
      </c>
      <c r="V34" s="4" t="str">
        <f ca="1">IF(OR($A34=0,$A34="S",$A34&gt;CFF!$A$9),"",MAX(V$12:OFFSET(V34,-1,0))+1)</f>
        <v/>
      </c>
      <c r="W34" s="9" t="str">
        <f>IF(AND($J34="Serviço",$M34&lt;&gt;""),IF($L34="",$M34,CONCATENATE($L34,"-",$M34)))</f>
        <v>SINAPI-I-3777</v>
      </c>
      <c r="X34" s="4" t="e">
        <f ca="1">IF(AND(Fonte&lt;&gt;"",Código&lt;&gt;""),MATCH(Fonte&amp;" "&amp;IF(Fonte="sinapi",SUBSTITUTE(SUBSTITUTE(Código,"/00","/"),"/0","/"),Código),INDIRECT("'[Referência "&amp;_xlnm.Database&amp;".xls]Banco'!$a:$a"),0),"X")</f>
        <v>#REF!</v>
      </c>
      <c r="Y34" s="121">
        <f ca="1">IF(Import.Desoneracao="sim",Referencia.Desonerado,Referencia.NaoDesonerado)</f>
        <v>0</v>
      </c>
      <c r="Z34" s="132">
        <f ca="1">ROUND(IF(ISNUMBER(R34),R34,IF(LEFT(R34,3)="BDI",HLOOKUP(R34,DADOS!$T$37:$X$38,2,FALSE),0)),15-11*$X$5)</f>
        <v>0.2223</v>
      </c>
      <c r="AA34" s="4"/>
    </row>
    <row r="35" spans="1:27" ht="25.5" x14ac:dyDescent="0.2">
      <c r="A35" t="str">
        <f t="shared" si="0"/>
        <v>S</v>
      </c>
      <c r="B35">
        <f t="shared" si="1"/>
        <v>0</v>
      </c>
      <c r="C35">
        <f t="shared" ca="1" si="2"/>
        <v>3</v>
      </c>
      <c r="D35">
        <f t="shared" ca="1" si="3"/>
        <v>1</v>
      </c>
      <c r="E35">
        <f t="shared" ca="1" si="4"/>
        <v>0</v>
      </c>
      <c r="F35">
        <f t="shared" ca="1" si="5"/>
        <v>0</v>
      </c>
      <c r="G35">
        <f t="shared" ca="1" si="6"/>
        <v>4</v>
      </c>
      <c r="H35">
        <f t="shared" ca="1" si="7"/>
        <v>0</v>
      </c>
      <c r="I35">
        <f t="shared" ca="1" si="8"/>
        <v>0</v>
      </c>
      <c r="J35" s="120" t="s">
        <v>103</v>
      </c>
      <c r="K35" s="162" t="str">
        <f t="shared" ca="1" si="9"/>
        <v>3.1.4.</v>
      </c>
      <c r="L35" s="209" t="s">
        <v>240</v>
      </c>
      <c r="M35" s="209" t="s">
        <v>347</v>
      </c>
      <c r="N35" s="230" t="s">
        <v>351</v>
      </c>
      <c r="O35" s="229" t="s">
        <v>242</v>
      </c>
      <c r="P35" s="232">
        <v>236.24</v>
      </c>
      <c r="Q35" s="228">
        <v>30.28</v>
      </c>
      <c r="R35" s="231" t="s">
        <v>7</v>
      </c>
      <c r="S35" s="121">
        <f t="shared" ca="1" si="10"/>
        <v>37.01</v>
      </c>
      <c r="T35" s="98">
        <f t="shared" ca="1" si="11"/>
        <v>8743.24</v>
      </c>
      <c r="U35" s="13" t="str">
        <f t="shared" ca="1" si="12"/>
        <v>ACIMA REF.</v>
      </c>
      <c r="V35" s="4" t="str">
        <f ca="1">IF(OR($A35=0,$A35="S",$A35&gt;CFF!$A$9),"",MAX(V$12:OFFSET(V35,-1,0))+1)</f>
        <v/>
      </c>
      <c r="W35" s="9" t="str">
        <f t="shared" si="13"/>
        <v>SINAPI-I-43127</v>
      </c>
      <c r="X35" s="4" t="e">
        <f t="shared" ca="1" si="14"/>
        <v>#REF!</v>
      </c>
      <c r="Y35" s="121">
        <f t="shared" ca="1" si="15"/>
        <v>0</v>
      </c>
      <c r="Z35" s="132">
        <f ca="1">ROUND(IF(ISNUMBER(R35),R35,IF(LEFT(R35,3)="BDI",HLOOKUP(R35,DADOS!$T$37:$X$38,2,FALSE),0)),15-11*$X$5)</f>
        <v>0.2223</v>
      </c>
      <c r="AA35" s="4"/>
    </row>
    <row r="36" spans="1:27" x14ac:dyDescent="0.2">
      <c r="A36" t="str">
        <f t="shared" si="0"/>
        <v>S</v>
      </c>
      <c r="B36">
        <f t="shared" si="1"/>
        <v>0</v>
      </c>
      <c r="C36">
        <f t="shared" ca="1" si="2"/>
        <v>3</v>
      </c>
      <c r="D36">
        <f t="shared" ca="1" si="3"/>
        <v>1</v>
      </c>
      <c r="E36">
        <f t="shared" ca="1" si="4"/>
        <v>0</v>
      </c>
      <c r="F36">
        <f t="shared" ca="1" si="5"/>
        <v>0</v>
      </c>
      <c r="G36">
        <f t="shared" ca="1" si="6"/>
        <v>5</v>
      </c>
      <c r="H36">
        <f t="shared" ca="1" si="7"/>
        <v>0</v>
      </c>
      <c r="I36">
        <f t="shared" ca="1" si="8"/>
        <v>0</v>
      </c>
      <c r="J36" s="120" t="s">
        <v>103</v>
      </c>
      <c r="K36" s="162" t="str">
        <f t="shared" ca="1" si="9"/>
        <v>3.1.5.</v>
      </c>
      <c r="L36" s="209" t="s">
        <v>238</v>
      </c>
      <c r="M36" s="209" t="s">
        <v>271</v>
      </c>
      <c r="N36" s="230" t="s">
        <v>314</v>
      </c>
      <c r="O36" s="229" t="s">
        <v>243</v>
      </c>
      <c r="P36" s="232">
        <v>236.24</v>
      </c>
      <c r="Q36" s="228">
        <v>21.12</v>
      </c>
      <c r="R36" s="231" t="s">
        <v>7</v>
      </c>
      <c r="S36" s="121">
        <f t="shared" ca="1" si="10"/>
        <v>25.81</v>
      </c>
      <c r="T36" s="98">
        <f t="shared" ca="1" si="11"/>
        <v>6097.35</v>
      </c>
      <c r="U36" s="13" t="str">
        <f t="shared" ca="1" si="12"/>
        <v>ACIMA REF.</v>
      </c>
      <c r="V36" s="4" t="str">
        <f ca="1">IF(OR($A36=0,$A36="S",$A36&gt;CFF!$A$9),"",MAX(V$12:OFFSET(V36,-1,0))+1)</f>
        <v/>
      </c>
      <c r="W36" s="9" t="str">
        <f t="shared" si="13"/>
        <v>SINAPI-95241</v>
      </c>
      <c r="X36" s="4" t="e">
        <f t="shared" ca="1" si="14"/>
        <v>#REF!</v>
      </c>
      <c r="Y36" s="121">
        <f t="shared" ca="1" si="15"/>
        <v>0</v>
      </c>
      <c r="Z36" s="132">
        <f ca="1">ROUND(IF(ISNUMBER(R36),R36,IF(LEFT(R36,3)="BDI",HLOOKUP(R36,DADOS!$T$37:$X$38,2,FALSE),0)),15-11*$X$5)</f>
        <v>0.2223</v>
      </c>
      <c r="AA36" s="4"/>
    </row>
    <row r="37" spans="1:27" ht="25.5" x14ac:dyDescent="0.2">
      <c r="A37" t="str">
        <f>CHOOSE(1+LOG(1+2*(J37="Meta")+4*(J37="Nível 2")+8*(J37="Nível 3")+16*(J37="Nível 4")+32*(J37="Serviço"),2),0,1,2,3,4,"S")</f>
        <v>S</v>
      </c>
      <c r="B37">
        <f>IF(OR(A37="S",A37=0),0,IF(ISERROR(I37),H37,SMALL(H37:I37,1)))</f>
        <v>0</v>
      </c>
      <c r="C37">
        <f ca="1">IF($A37=1,OFFSET(C37,-1,0)+1,OFFSET(C37,-1,0))</f>
        <v>3</v>
      </c>
      <c r="D37">
        <f ca="1">IF($A37=1,0,IF($A37=2,OFFSET(D37,-1,0)+1,OFFSET(D37,-1,0)))</f>
        <v>1</v>
      </c>
      <c r="E37">
        <f ca="1">IF(AND($A37&lt;=2,$A37&lt;&gt;0),0,IF($A37=3,OFFSET(E37,-1,0)+1,OFFSET(E37,-1,0)))</f>
        <v>0</v>
      </c>
      <c r="F37">
        <f ca="1">IF(AND($A37&lt;=3,$A37&lt;&gt;0),0,IF($A37=4,OFFSET(F37,-1,0)+1,OFFSET(F37,-1,0)))</f>
        <v>0</v>
      </c>
      <c r="G37">
        <f ca="1">IF(AND($A37&lt;=4,$A37&lt;&gt;0),0,IF($A37="S",OFFSET(G37,-1,0)+1,OFFSET(G37,-1,0)))</f>
        <v>6</v>
      </c>
      <c r="H37">
        <f t="shared" ca="1" si="7"/>
        <v>0</v>
      </c>
      <c r="I37">
        <f t="shared" ca="1" si="8"/>
        <v>0</v>
      </c>
      <c r="J37" s="120" t="s">
        <v>103</v>
      </c>
      <c r="K37" s="162" t="str">
        <f ca="1">IF($A37=0,"-",CONCATENATE(C37&amp;".",IF(AND($A$5&gt;=2,$A37&gt;=2),D37&amp;".",""),IF(AND($A$5&gt;=3,$A37&gt;=3),E37&amp;".",""),IF(AND($A$5&gt;=4,$A37&gt;=4),F37&amp;".",""),IF($A37="S",G37&amp;".","")))</f>
        <v>3.1.6.</v>
      </c>
      <c r="L37" s="209" t="s">
        <v>238</v>
      </c>
      <c r="M37" s="209" t="s">
        <v>357</v>
      </c>
      <c r="N37" s="230" t="s">
        <v>380</v>
      </c>
      <c r="O37" s="229" t="s">
        <v>243</v>
      </c>
      <c r="P37" s="232">
        <v>236.24</v>
      </c>
      <c r="Q37" s="228">
        <v>25.07</v>
      </c>
      <c r="R37" s="231" t="s">
        <v>7</v>
      </c>
      <c r="S37" s="121">
        <f ca="1">IF($A37="S",IF($Q$10="Preço Unitário (R$)",PO.CustoUnitario,ROUND(PO.CustoUnitario*(1+$Z37),15-13*$X$6)),0)</f>
        <v>30.64</v>
      </c>
      <c r="T37" s="98">
        <f ca="1">IF($A37="S",VTOTAL1,IF($A37=0,0,ROUND(SomaAgrup,15-13*$X$7)))</f>
        <v>7238.39</v>
      </c>
      <c r="U37" s="13" t="str">
        <f ca="1">IF($J37="","",IF($N37="","DESCRIÇÃO",IF(AND($J37="Serviço",$O37=""),"UNIDADE",IF($T37&lt;=0,"SEM VALOR",IF(AND($Y37&lt;&gt;"",$Q37&gt;$Y37),"ACIMA REF.","")))))</f>
        <v>ACIMA REF.</v>
      </c>
      <c r="V37" s="4" t="str">
        <f ca="1">IF(OR($A37=0,$A37="S",$A37&gt;CFF!$A$9),"",MAX(V$12:OFFSET(V37,-1,0))+1)</f>
        <v/>
      </c>
      <c r="W37" s="9" t="str">
        <f>IF(AND($J37="Serviço",$M37&lt;&gt;""),IF($L37="",$M37,CONCATENATE($L37,"-",$M37)))</f>
        <v>SINAPI-88471</v>
      </c>
      <c r="X37" s="4" t="e">
        <f ca="1">IF(AND(Fonte&lt;&gt;"",Código&lt;&gt;""),MATCH(Fonte&amp;" "&amp;IF(Fonte="sinapi",SUBSTITUTE(SUBSTITUTE(Código,"/00","/"),"/0","/"),Código),INDIRECT("'[Referência "&amp;_xlnm.Database&amp;".xls]Banco'!$a:$a"),0),"X")</f>
        <v>#REF!</v>
      </c>
      <c r="Y37" s="121">
        <f ca="1">IF(Import.Desoneracao="sim",Referencia.Desonerado,Referencia.NaoDesonerado)</f>
        <v>0</v>
      </c>
      <c r="Z37" s="132">
        <f ca="1">ROUND(IF(ISNUMBER(R37),R37,IF(LEFT(R37,3)="BDI",HLOOKUP(R37,DADOS!$T$37:$X$38,2,FALSE),0)),15-11*$X$5)</f>
        <v>0.2223</v>
      </c>
      <c r="AA37" s="4"/>
    </row>
    <row r="38" spans="1:27" ht="25.5" x14ac:dyDescent="0.2">
      <c r="A38" t="str">
        <f t="shared" si="0"/>
        <v>S</v>
      </c>
      <c r="B38">
        <f t="shared" si="1"/>
        <v>0</v>
      </c>
      <c r="C38">
        <f t="shared" ca="1" si="2"/>
        <v>3</v>
      </c>
      <c r="D38">
        <f t="shared" ca="1" si="3"/>
        <v>1</v>
      </c>
      <c r="E38">
        <f t="shared" ca="1" si="4"/>
        <v>0</v>
      </c>
      <c r="F38">
        <f t="shared" ca="1" si="5"/>
        <v>0</v>
      </c>
      <c r="G38">
        <f t="shared" ca="1" si="6"/>
        <v>7</v>
      </c>
      <c r="H38">
        <f t="shared" ca="1" si="7"/>
        <v>0</v>
      </c>
      <c r="I38">
        <f t="shared" ca="1" si="8"/>
        <v>0</v>
      </c>
      <c r="J38" s="120" t="s">
        <v>103</v>
      </c>
      <c r="K38" s="162" t="str">
        <f t="shared" ca="1" si="9"/>
        <v>3.1.7.</v>
      </c>
      <c r="L38" s="209" t="s">
        <v>238</v>
      </c>
      <c r="M38" s="209" t="s">
        <v>272</v>
      </c>
      <c r="N38" s="230" t="s">
        <v>315</v>
      </c>
      <c r="O38" s="229" t="s">
        <v>243</v>
      </c>
      <c r="P38" s="232">
        <v>255.89</v>
      </c>
      <c r="Q38" s="228">
        <v>74.94</v>
      </c>
      <c r="R38" s="231" t="s">
        <v>7</v>
      </c>
      <c r="S38" s="121">
        <f t="shared" ca="1" si="10"/>
        <v>91.6</v>
      </c>
      <c r="T38" s="98">
        <f t="shared" ca="1" si="11"/>
        <v>23439.52</v>
      </c>
      <c r="U38" s="13" t="str">
        <f t="shared" ca="1" si="12"/>
        <v>ACIMA REF.</v>
      </c>
      <c r="V38" s="4" t="str">
        <f ca="1">IF(OR($A38=0,$A38="S",$A38&gt;CFF!$A$9),"",MAX(V$12:OFFSET(V38,-1,0))+1)</f>
        <v/>
      </c>
      <c r="W38" s="9" t="str">
        <f t="shared" si="13"/>
        <v>SINAPI-87260</v>
      </c>
      <c r="X38" s="4" t="e">
        <f t="shared" ca="1" si="14"/>
        <v>#REF!</v>
      </c>
      <c r="Y38" s="121">
        <f t="shared" ca="1" si="15"/>
        <v>0</v>
      </c>
      <c r="Z38" s="132">
        <f ca="1">ROUND(IF(ISNUMBER(R38),R38,IF(LEFT(R38,3)="BDI",HLOOKUP(R38,DADOS!$T$37:$X$38,2,FALSE),0)),15-11*$X$5)</f>
        <v>0.2223</v>
      </c>
      <c r="AA38" s="4"/>
    </row>
    <row r="39" spans="1:27" x14ac:dyDescent="0.2">
      <c r="A39" t="str">
        <f>CHOOSE(1+LOG(1+2*(J39="Meta")+4*(J39="Nível 2")+8*(J39="Nível 3")+16*(J39="Nível 4")+32*(J39="Serviço"),2),0,1,2,3,4,"S")</f>
        <v>S</v>
      </c>
      <c r="B39">
        <f>IF(OR(A39="S",A39=0),0,IF(ISERROR(I39),H39,SMALL(H39:I39,1)))</f>
        <v>0</v>
      </c>
      <c r="C39">
        <f ca="1">IF($A39=1,OFFSET(C39,-1,0)+1,OFFSET(C39,-1,0))</f>
        <v>3</v>
      </c>
      <c r="D39">
        <f ca="1">IF($A39=1,0,IF($A39=2,OFFSET(D39,-1,0)+1,OFFSET(D39,-1,0)))</f>
        <v>1</v>
      </c>
      <c r="E39">
        <f ca="1">IF(AND($A39&lt;=2,$A39&lt;&gt;0),0,IF($A39=3,OFFSET(E39,-1,0)+1,OFFSET(E39,-1,0)))</f>
        <v>0</v>
      </c>
      <c r="F39">
        <f ca="1">IF(AND($A39&lt;=3,$A39&lt;&gt;0),0,IF($A39=4,OFFSET(F39,-1,0)+1,OFFSET(F39,-1,0)))</f>
        <v>0</v>
      </c>
      <c r="G39">
        <f ca="1">IF(AND($A39&lt;=4,$A39&lt;&gt;0),0,IF($A39="S",OFFSET(G39,-1,0)+1,OFFSET(G39,-1,0)))</f>
        <v>8</v>
      </c>
      <c r="H39">
        <f t="shared" ca="1" si="7"/>
        <v>0</v>
      </c>
      <c r="I39">
        <f t="shared" ca="1" si="8"/>
        <v>0</v>
      </c>
      <c r="J39" s="120" t="s">
        <v>103</v>
      </c>
      <c r="K39" s="162" t="str">
        <f ca="1">IF($A39=0,"-",CONCATENATE(C39&amp;".",IF(AND($A$5&gt;=2,$A39&gt;=2),D39&amp;".",""),IF(AND($A$5&gt;=3,$A39&gt;=3),E39&amp;".",""),IF(AND($A$5&gt;=4,$A39&gt;=4),F39&amp;".",""),IF($A39="S",G39&amp;".","")))</f>
        <v>3.1.8.</v>
      </c>
      <c r="L39" s="209" t="s">
        <v>353</v>
      </c>
      <c r="M39" s="209" t="s">
        <v>374</v>
      </c>
      <c r="N39" s="230" t="s">
        <v>381</v>
      </c>
      <c r="O39" s="229" t="s">
        <v>244</v>
      </c>
      <c r="P39" s="232">
        <v>4.18</v>
      </c>
      <c r="Q39" s="228">
        <v>616.89</v>
      </c>
      <c r="R39" s="231" t="s">
        <v>7</v>
      </c>
      <c r="S39" s="121">
        <f ca="1">IF($A39="S",IF($Q$10="Preço Unitário (R$)",PO.CustoUnitario,ROUND(PO.CustoUnitario*(1+$Z39),15-13*$X$6)),0)</f>
        <v>754.02</v>
      </c>
      <c r="T39" s="98">
        <f ca="1">IF($A39="S",VTOTAL1,IF($A39=0,0,ROUND(SomaAgrup,15-13*$X$7)))</f>
        <v>3151.8</v>
      </c>
      <c r="U39" s="13" t="str">
        <f ca="1">IF($J39="","",IF($N39="","DESCRIÇÃO",IF(AND($J39="Serviço",$O39=""),"UNIDADE",IF($T39&lt;=0,"SEM VALOR",IF(AND($Y39&lt;&gt;"",$Q39&gt;$Y39),"ACIMA REF.","")))))</f>
        <v>ACIMA REF.</v>
      </c>
      <c r="V39" s="4" t="str">
        <f ca="1">IF(OR($A39=0,$A39="S",$A39&gt;CFF!$A$9),"",MAX(V$12:OFFSET(V39,-1,0))+1)</f>
        <v/>
      </c>
      <c r="W39" s="9" t="str">
        <f>IF(AND($J39="Serviço",$M39&lt;&gt;""),IF($L39="",$M39,CONCATENATE($L39,"-",$M39)))</f>
        <v>PRÓPRIA-0004</v>
      </c>
      <c r="X39" s="4" t="e">
        <f ca="1">IF(AND(Fonte&lt;&gt;"",Código&lt;&gt;""),MATCH(Fonte&amp;" "&amp;IF(Fonte="sinapi",SUBSTITUTE(SUBSTITUTE(Código,"/00","/"),"/0","/"),Código),INDIRECT("'[Referência "&amp;_xlnm.Database&amp;".xls]Banco'!$a:$a"),0),"X")</f>
        <v>#REF!</v>
      </c>
      <c r="Y39" s="121">
        <f ca="1">IF(Import.Desoneracao="sim",Referencia.Desonerado,Referencia.NaoDesonerado)</f>
        <v>0</v>
      </c>
      <c r="Z39" s="132">
        <f ca="1">ROUND(IF(ISNUMBER(R39),R39,IF(LEFT(R39,3)="BDI",HLOOKUP(R39,DADOS!$T$37:$X$38,2,FALSE),0)),15-11*$X$5)</f>
        <v>0.2223</v>
      </c>
      <c r="AA39" s="4"/>
    </row>
    <row r="40" spans="1:27" x14ac:dyDescent="0.2">
      <c r="A40">
        <f t="shared" si="0"/>
        <v>2</v>
      </c>
      <c r="B40">
        <f t="shared" ca="1" si="1"/>
        <v>4</v>
      </c>
      <c r="C40">
        <f t="shared" ca="1" si="2"/>
        <v>3</v>
      </c>
      <c r="D40">
        <f t="shared" ca="1" si="3"/>
        <v>2</v>
      </c>
      <c r="E40">
        <f t="shared" ca="1" si="4"/>
        <v>0</v>
      </c>
      <c r="F40">
        <f t="shared" ca="1" si="5"/>
        <v>0</v>
      </c>
      <c r="G40">
        <f t="shared" ca="1" si="6"/>
        <v>0</v>
      </c>
      <c r="H40">
        <f t="shared" ca="1" si="7"/>
        <v>40</v>
      </c>
      <c r="I40">
        <f t="shared" ca="1" si="8"/>
        <v>4</v>
      </c>
      <c r="J40" s="120" t="s">
        <v>100</v>
      </c>
      <c r="K40" s="162" t="str">
        <f t="shared" ca="1" si="9"/>
        <v>3.2.</v>
      </c>
      <c r="L40" s="209" t="s">
        <v>238</v>
      </c>
      <c r="M40" s="209"/>
      <c r="N40" s="230" t="s">
        <v>274</v>
      </c>
      <c r="O40" s="229" t="str">
        <f ca="1">Referencia.Unidade</f>
        <v/>
      </c>
      <c r="P40" s="232"/>
      <c r="Q40" s="228"/>
      <c r="R40" s="231" t="s">
        <v>7</v>
      </c>
      <c r="S40" s="121">
        <f t="shared" si="10"/>
        <v>0</v>
      </c>
      <c r="T40" s="98">
        <f t="shared" ca="1" si="11"/>
        <v>32884.21</v>
      </c>
      <c r="U40" s="13" t="str">
        <f t="shared" ca="1" si="12"/>
        <v/>
      </c>
      <c r="V40" s="4">
        <f ca="1">IF(OR($A40=0,$A40="S",$A40&gt;CFF!$A$9),"",MAX(V$12:OFFSET(V40,-1,0))+1)</f>
        <v>5</v>
      </c>
      <c r="W40" s="9" t="b">
        <f t="shared" si="13"/>
        <v>0</v>
      </c>
      <c r="X40" s="4" t="str">
        <f t="shared" ca="1" si="14"/>
        <v>X</v>
      </c>
      <c r="Y40" s="121">
        <f t="shared" ca="1" si="15"/>
        <v>0</v>
      </c>
      <c r="Z40" s="132">
        <f ca="1">ROUND(IF(ISNUMBER(R40),R40,IF(LEFT(R40,3)="BDI",HLOOKUP(R40,DADOS!$T$37:$X$38,2,FALSE),0)),15-11*$X$5)</f>
        <v>0.2223</v>
      </c>
      <c r="AA40" s="4"/>
    </row>
    <row r="41" spans="1:27" ht="25.5" x14ac:dyDescent="0.2">
      <c r="A41" t="str">
        <f t="shared" si="0"/>
        <v>S</v>
      </c>
      <c r="B41">
        <f t="shared" si="1"/>
        <v>0</v>
      </c>
      <c r="C41">
        <f t="shared" ca="1" si="2"/>
        <v>3</v>
      </c>
      <c r="D41">
        <f t="shared" ca="1" si="3"/>
        <v>2</v>
      </c>
      <c r="E41">
        <f t="shared" ca="1" si="4"/>
        <v>0</v>
      </c>
      <c r="F41">
        <f t="shared" ca="1" si="5"/>
        <v>0</v>
      </c>
      <c r="G41">
        <f t="shared" ca="1" si="6"/>
        <v>1</v>
      </c>
      <c r="H41">
        <f t="shared" ca="1" si="7"/>
        <v>0</v>
      </c>
      <c r="I41">
        <f t="shared" ca="1" si="8"/>
        <v>0</v>
      </c>
      <c r="J41" s="120" t="s">
        <v>103</v>
      </c>
      <c r="K41" s="162" t="str">
        <f t="shared" ca="1" si="9"/>
        <v>3.2.1.</v>
      </c>
      <c r="L41" s="209" t="s">
        <v>238</v>
      </c>
      <c r="M41" s="209" t="s">
        <v>275</v>
      </c>
      <c r="N41" s="230" t="s">
        <v>316</v>
      </c>
      <c r="O41" s="229" t="s">
        <v>243</v>
      </c>
      <c r="P41" s="232">
        <v>428.54</v>
      </c>
      <c r="Q41" s="228">
        <v>3.03</v>
      </c>
      <c r="R41" s="231" t="s">
        <v>7</v>
      </c>
      <c r="S41" s="121">
        <f t="shared" ca="1" si="10"/>
        <v>3.7</v>
      </c>
      <c r="T41" s="98">
        <f t="shared" ca="1" si="11"/>
        <v>1585.6</v>
      </c>
      <c r="U41" s="13" t="str">
        <f t="shared" ca="1" si="12"/>
        <v>ACIMA REF.</v>
      </c>
      <c r="V41" s="4" t="str">
        <f ca="1">IF(OR($A41=0,$A41="S",$A41&gt;CFF!$A$9),"",MAX(V$12:OFFSET(V41,-1,0))+1)</f>
        <v/>
      </c>
      <c r="W41" s="9" t="str">
        <f t="shared" si="13"/>
        <v>SINAPI-87879</v>
      </c>
      <c r="X41" s="4" t="e">
        <f t="shared" ca="1" si="14"/>
        <v>#REF!</v>
      </c>
      <c r="Y41" s="121">
        <f t="shared" ca="1" si="15"/>
        <v>0</v>
      </c>
      <c r="Z41" s="132">
        <f ca="1">ROUND(IF(ISNUMBER(R41),R41,IF(LEFT(R41,3)="BDI",HLOOKUP(R41,DADOS!$T$37:$X$38,2,FALSE),0)),15-11*$X$5)</f>
        <v>0.2223</v>
      </c>
      <c r="AA41" s="4"/>
    </row>
    <row r="42" spans="1:27" ht="51" x14ac:dyDescent="0.2">
      <c r="A42" t="str">
        <f>CHOOSE(1+LOG(1+2*(J42="Meta")+4*(J42="Nível 2")+8*(J42="Nível 3")+16*(J42="Nível 4")+32*(J42="Serviço"),2),0,1,2,3,4,"S")</f>
        <v>S</v>
      </c>
      <c r="B42">
        <f>IF(OR(A42="S",A42=0),0,IF(ISERROR(I42),H42,SMALL(H42:I42,1)))</f>
        <v>0</v>
      </c>
      <c r="C42">
        <f ca="1">IF($A42=1,OFFSET(C42,-1,0)+1,OFFSET(C42,-1,0))</f>
        <v>3</v>
      </c>
      <c r="D42">
        <f ca="1">IF($A42=1,0,IF($A42=2,OFFSET(D42,-1,0)+1,OFFSET(D42,-1,0)))</f>
        <v>2</v>
      </c>
      <c r="E42">
        <f ca="1">IF(AND($A42&lt;=2,$A42&lt;&gt;0),0,IF($A42=3,OFFSET(E42,-1,0)+1,OFFSET(E42,-1,0)))</f>
        <v>0</v>
      </c>
      <c r="F42">
        <f ca="1">IF(AND($A42&lt;=3,$A42&lt;&gt;0),0,IF($A42=4,OFFSET(F42,-1,0)+1,OFFSET(F42,-1,0)))</f>
        <v>0</v>
      </c>
      <c r="G42">
        <f ca="1">IF(AND($A42&lt;=4,$A42&lt;&gt;0),0,IF($A42="S",OFFSET(G42,-1,0)+1,OFFSET(G42,-1,0)))</f>
        <v>2</v>
      </c>
      <c r="H42">
        <f t="shared" ca="1" si="7"/>
        <v>0</v>
      </c>
      <c r="I42">
        <f t="shared" ca="1" si="8"/>
        <v>0</v>
      </c>
      <c r="J42" s="120" t="s">
        <v>103</v>
      </c>
      <c r="K42" s="162" t="str">
        <f ca="1">IF($A42=0,"-",CONCATENATE(C42&amp;".",IF(AND($A$5&gt;=2,$A42&gt;=2),D42&amp;".",""),IF(AND($A$5&gt;=3,$A42&gt;=3),E42&amp;".",""),IF(AND($A$5&gt;=4,$A42&gt;=4),F42&amp;".",""),IF($A42="S",G42&amp;".","")))</f>
        <v>3.2.2.</v>
      </c>
      <c r="L42" s="209" t="s">
        <v>238</v>
      </c>
      <c r="M42" s="209" t="s">
        <v>358</v>
      </c>
      <c r="N42" s="230" t="s">
        <v>410</v>
      </c>
      <c r="O42" s="229" t="s">
        <v>243</v>
      </c>
      <c r="P42" s="232">
        <v>428.54</v>
      </c>
      <c r="Q42" s="228">
        <v>22.58</v>
      </c>
      <c r="R42" s="231" t="s">
        <v>7</v>
      </c>
      <c r="S42" s="121">
        <f ca="1">IF($A42="S",IF($Q$10="Preço Unitário (R$)",PO.CustoUnitario,ROUND(PO.CustoUnitario*(1+$Z42),15-13*$X$6)),0)</f>
        <v>27.6</v>
      </c>
      <c r="T42" s="98">
        <f ca="1">IF($A42="S",VTOTAL1,IF($A42=0,0,ROUND(SomaAgrup,15-13*$X$7)))</f>
        <v>11827.7</v>
      </c>
      <c r="U42" s="13" t="str">
        <f ca="1">IF($J42="","",IF($N42="","DESCRIÇÃO",IF(AND($J42="Serviço",$O42=""),"UNIDADE",IF($T42&lt;=0,"SEM VALOR",IF(AND($Y42&lt;&gt;"",$Q42&gt;$Y42),"ACIMA REF.","")))))</f>
        <v>ACIMA REF.</v>
      </c>
      <c r="V42" s="4" t="str">
        <f ca="1">IF(OR($A42=0,$A42="S",$A42&gt;CFF!$A$9),"",MAX(V$12:OFFSET(V42,-1,0))+1)</f>
        <v/>
      </c>
      <c r="W42" s="9" t="str">
        <f>IF(AND($J42="Serviço",$M42&lt;&gt;""),IF($L42="",$M42,CONCATENATE($L42,"-",$M42)))</f>
        <v>SINAPI-87535</v>
      </c>
      <c r="X42" s="4" t="e">
        <f ca="1">IF(AND(Fonte&lt;&gt;"",Código&lt;&gt;""),MATCH(Fonte&amp;" "&amp;IF(Fonte="sinapi",SUBSTITUTE(SUBSTITUTE(Código,"/00","/"),"/0","/"),Código),INDIRECT("'[Referência "&amp;_xlnm.Database&amp;".xls]Banco'!$a:$a"),0),"X")</f>
        <v>#REF!</v>
      </c>
      <c r="Y42" s="121">
        <f ca="1">IF(Import.Desoneracao="sim",Referencia.Desonerado,Referencia.NaoDesonerado)</f>
        <v>0</v>
      </c>
      <c r="Z42" s="132">
        <f ca="1">ROUND(IF(ISNUMBER(R42),R42,IF(LEFT(R42,3)="BDI",HLOOKUP(R42,DADOS!$T$37:$X$38,2,FALSE),0)),15-11*$X$5)</f>
        <v>0.2223</v>
      </c>
      <c r="AA42" s="4"/>
    </row>
    <row r="43" spans="1:27" ht="25.5" x14ac:dyDescent="0.2">
      <c r="A43" t="str">
        <f t="shared" si="0"/>
        <v>S</v>
      </c>
      <c r="B43">
        <f t="shared" si="1"/>
        <v>0</v>
      </c>
      <c r="C43">
        <f t="shared" ca="1" si="2"/>
        <v>3</v>
      </c>
      <c r="D43">
        <f t="shared" ca="1" si="3"/>
        <v>2</v>
      </c>
      <c r="E43">
        <f t="shared" ca="1" si="4"/>
        <v>0</v>
      </c>
      <c r="F43">
        <f t="shared" ca="1" si="5"/>
        <v>0</v>
      </c>
      <c r="G43">
        <f t="shared" ca="1" si="6"/>
        <v>3</v>
      </c>
      <c r="H43">
        <f t="shared" ca="1" si="7"/>
        <v>0</v>
      </c>
      <c r="I43">
        <f t="shared" ca="1" si="8"/>
        <v>0</v>
      </c>
      <c r="J43" s="120" t="s">
        <v>103</v>
      </c>
      <c r="K43" s="162" t="str">
        <f t="shared" ca="1" si="9"/>
        <v>3.2.3.</v>
      </c>
      <c r="L43" s="209" t="s">
        <v>238</v>
      </c>
      <c r="M43" s="209" t="s">
        <v>276</v>
      </c>
      <c r="N43" s="230" t="s">
        <v>317</v>
      </c>
      <c r="O43" s="229" t="s">
        <v>243</v>
      </c>
      <c r="P43" s="232">
        <v>293.06</v>
      </c>
      <c r="Q43" s="228">
        <v>54.36</v>
      </c>
      <c r="R43" s="231" t="s">
        <v>7</v>
      </c>
      <c r="S43" s="121">
        <f t="shared" ca="1" si="10"/>
        <v>66.44</v>
      </c>
      <c r="T43" s="98">
        <f t="shared" ca="1" si="11"/>
        <v>19470.91</v>
      </c>
      <c r="U43" s="13" t="str">
        <f t="shared" ca="1" si="12"/>
        <v>ACIMA REF.</v>
      </c>
      <c r="V43" s="4" t="str">
        <f ca="1">IF(OR($A43=0,$A43="S",$A43&gt;CFF!$A$9),"",MAX(V$12:OFFSET(V43,-1,0))+1)</f>
        <v/>
      </c>
      <c r="W43" s="9" t="str">
        <f t="shared" si="13"/>
        <v>SINAPI-87273</v>
      </c>
      <c r="X43" s="4" t="e">
        <f t="shared" ca="1" si="14"/>
        <v>#REF!</v>
      </c>
      <c r="Y43" s="121">
        <f t="shared" ca="1" si="15"/>
        <v>0</v>
      </c>
      <c r="Z43" s="132">
        <f ca="1">ROUND(IF(ISNUMBER(R43),R43,IF(LEFT(R43,3)="BDI",HLOOKUP(R43,DADOS!$T$37:$X$38,2,FALSE),0)),15-11*$X$5)</f>
        <v>0.2223</v>
      </c>
      <c r="AA43" s="4"/>
    </row>
    <row r="44" spans="1:27" x14ac:dyDescent="0.2">
      <c r="A44">
        <f t="shared" si="0"/>
        <v>2</v>
      </c>
      <c r="B44">
        <f t="shared" ca="1" si="1"/>
        <v>6</v>
      </c>
      <c r="C44">
        <f t="shared" ca="1" si="2"/>
        <v>3</v>
      </c>
      <c r="D44">
        <f t="shared" ca="1" si="3"/>
        <v>3</v>
      </c>
      <c r="E44">
        <f t="shared" ca="1" si="4"/>
        <v>0</v>
      </c>
      <c r="F44">
        <f t="shared" ca="1" si="5"/>
        <v>0</v>
      </c>
      <c r="G44">
        <f t="shared" ca="1" si="6"/>
        <v>0</v>
      </c>
      <c r="H44">
        <f t="shared" ca="1" si="7"/>
        <v>36</v>
      </c>
      <c r="I44">
        <f t="shared" ca="1" si="8"/>
        <v>6</v>
      </c>
      <c r="J44" s="120" t="s">
        <v>100</v>
      </c>
      <c r="K44" s="162" t="str">
        <f t="shared" ca="1" si="9"/>
        <v>3.3.</v>
      </c>
      <c r="L44" s="209" t="s">
        <v>238</v>
      </c>
      <c r="M44" s="209"/>
      <c r="N44" s="230" t="s">
        <v>280</v>
      </c>
      <c r="O44" s="229" t="str">
        <f ca="1">Referencia.Unidade</f>
        <v/>
      </c>
      <c r="P44" s="232"/>
      <c r="Q44" s="228"/>
      <c r="R44" s="231" t="s">
        <v>7</v>
      </c>
      <c r="S44" s="121">
        <f t="shared" si="10"/>
        <v>0</v>
      </c>
      <c r="T44" s="98">
        <f t="shared" ca="1" si="11"/>
        <v>90450.05</v>
      </c>
      <c r="U44" s="13" t="str">
        <f t="shared" ca="1" si="12"/>
        <v/>
      </c>
      <c r="V44" s="4">
        <f ca="1">IF(OR($A44=0,$A44="S",$A44&gt;CFF!$A$9),"",MAX(V$12:OFFSET(V44,-1,0))+1)</f>
        <v>6</v>
      </c>
      <c r="W44" s="9" t="b">
        <f t="shared" si="13"/>
        <v>0</v>
      </c>
      <c r="X44" s="4" t="str">
        <f t="shared" ca="1" si="14"/>
        <v>X</v>
      </c>
      <c r="Y44" s="121">
        <f t="shared" ca="1" si="15"/>
        <v>0</v>
      </c>
      <c r="Z44" s="132">
        <f ca="1">ROUND(IF(ISNUMBER(R44),R44,IF(LEFT(R44,3)="BDI",HLOOKUP(R44,DADOS!$T$37:$X$38,2,FALSE),0)),15-11*$X$5)</f>
        <v>0.2223</v>
      </c>
      <c r="AA44" s="4"/>
    </row>
    <row r="45" spans="1:27" ht="25.5" x14ac:dyDescent="0.2">
      <c r="A45" t="str">
        <f t="shared" si="0"/>
        <v>S</v>
      </c>
      <c r="B45">
        <f t="shared" si="1"/>
        <v>0</v>
      </c>
      <c r="C45">
        <f t="shared" ca="1" si="2"/>
        <v>3</v>
      </c>
      <c r="D45">
        <f t="shared" ca="1" si="3"/>
        <v>3</v>
      </c>
      <c r="E45">
        <f t="shared" ca="1" si="4"/>
        <v>0</v>
      </c>
      <c r="F45">
        <f t="shared" ca="1" si="5"/>
        <v>0</v>
      </c>
      <c r="G45">
        <f t="shared" ca="1" si="6"/>
        <v>1</v>
      </c>
      <c r="H45">
        <f t="shared" ref="H45:H76" ca="1" si="39">IF(OR($A45="S",$A45=0),0,MATCH(0,OFFSET($B45,1,$A45,ROW($A$134)-ROW($A45)),0))</f>
        <v>0</v>
      </c>
      <c r="I45">
        <f t="shared" ref="I45:I76" ca="1" si="40">IF(OR($A45="S",$A45=0),0,MATCH(OFFSET($B45,0,$A45)+1,OFFSET($B45,1,$A45,ROW($A$134)-ROW($A45)),0))</f>
        <v>0</v>
      </c>
      <c r="J45" s="120" t="s">
        <v>103</v>
      </c>
      <c r="K45" s="162" t="str">
        <f t="shared" ca="1" si="9"/>
        <v>3.3.1.</v>
      </c>
      <c r="L45" s="209" t="s">
        <v>359</v>
      </c>
      <c r="M45" s="209" t="s">
        <v>46</v>
      </c>
      <c r="N45" s="230" t="s">
        <v>304</v>
      </c>
      <c r="O45" s="229" t="s">
        <v>242</v>
      </c>
      <c r="P45" s="232">
        <v>32.4</v>
      </c>
      <c r="Q45" s="228">
        <v>552.07000000000005</v>
      </c>
      <c r="R45" s="231" t="s">
        <v>7</v>
      </c>
      <c r="S45" s="121">
        <f t="shared" ca="1" si="10"/>
        <v>674.8</v>
      </c>
      <c r="T45" s="98">
        <f t="shared" ca="1" si="11"/>
        <v>21863.52</v>
      </c>
      <c r="U45" s="13" t="str">
        <f t="shared" ca="1" si="12"/>
        <v>ACIMA REF.</v>
      </c>
      <c r="V45" s="4" t="str">
        <f ca="1">IF(OR($A45=0,$A45="S",$A45&gt;CFF!$A$9),"",MAX(V$12:OFFSET(V45,-1,0))+1)</f>
        <v/>
      </c>
      <c r="W45" s="9" t="str">
        <f t="shared" si="13"/>
        <v>MERCADO--</v>
      </c>
      <c r="X45" s="4" t="e">
        <f t="shared" ca="1" si="14"/>
        <v>#REF!</v>
      </c>
      <c r="Y45" s="121">
        <f t="shared" ca="1" si="15"/>
        <v>0</v>
      </c>
      <c r="Z45" s="132">
        <f ca="1">ROUND(IF(ISNUMBER(R45),R45,IF(LEFT(R45,3)="BDI",HLOOKUP(R45,DADOS!$T$37:$X$38,2,FALSE),0)),15-11*$X$5)</f>
        <v>0.2223</v>
      </c>
      <c r="AA45" s="4"/>
    </row>
    <row r="46" spans="1:27" ht="25.5" x14ac:dyDescent="0.2">
      <c r="A46" t="str">
        <f t="shared" si="0"/>
        <v>S</v>
      </c>
      <c r="B46">
        <f t="shared" si="1"/>
        <v>0</v>
      </c>
      <c r="C46">
        <f t="shared" ca="1" si="2"/>
        <v>3</v>
      </c>
      <c r="D46">
        <f t="shared" ca="1" si="3"/>
        <v>3</v>
      </c>
      <c r="E46">
        <f t="shared" ca="1" si="4"/>
        <v>0</v>
      </c>
      <c r="F46">
        <f t="shared" ca="1" si="5"/>
        <v>0</v>
      </c>
      <c r="G46">
        <f t="shared" ca="1" si="6"/>
        <v>2</v>
      </c>
      <c r="H46">
        <f t="shared" ca="1" si="39"/>
        <v>0</v>
      </c>
      <c r="I46">
        <f t="shared" ca="1" si="40"/>
        <v>0</v>
      </c>
      <c r="J46" s="120" t="s">
        <v>103</v>
      </c>
      <c r="K46" s="162" t="str">
        <f t="shared" ca="1" si="9"/>
        <v>3.3.2.</v>
      </c>
      <c r="L46" s="209" t="s">
        <v>238</v>
      </c>
      <c r="M46" s="209" t="s">
        <v>281</v>
      </c>
      <c r="N46" s="230" t="s">
        <v>360</v>
      </c>
      <c r="O46" s="229" t="s">
        <v>243</v>
      </c>
      <c r="P46" s="232">
        <v>12.96</v>
      </c>
      <c r="Q46" s="228">
        <v>465.71</v>
      </c>
      <c r="R46" s="231" t="s">
        <v>7</v>
      </c>
      <c r="S46" s="121">
        <f t="shared" ca="1" si="10"/>
        <v>569.24</v>
      </c>
      <c r="T46" s="98">
        <f t="shared" ca="1" si="11"/>
        <v>7377.35</v>
      </c>
      <c r="U46" s="13" t="str">
        <f t="shared" ca="1" si="12"/>
        <v>ACIMA REF.</v>
      </c>
      <c r="V46" s="4" t="str">
        <f ca="1">IF(OR($A46=0,$A46="S",$A46&gt;CFF!$A$9),"",MAX(V$12:OFFSET(V46,-1,0))+1)</f>
        <v/>
      </c>
      <c r="W46" s="9" t="str">
        <f t="shared" si="13"/>
        <v>SINAPI-91341</v>
      </c>
      <c r="X46" s="4" t="e">
        <f t="shared" ca="1" si="14"/>
        <v>#REF!</v>
      </c>
      <c r="Y46" s="121">
        <f t="shared" ca="1" si="15"/>
        <v>0</v>
      </c>
      <c r="Z46" s="132">
        <f ca="1">ROUND(IF(ISNUMBER(R46),R46,IF(LEFT(R46,3)="BDI",HLOOKUP(R46,DADOS!$T$37:$X$38,2,FALSE),0)),15-11*$X$5)</f>
        <v>0.2223</v>
      </c>
      <c r="AA46" s="4"/>
    </row>
    <row r="47" spans="1:27" ht="25.5" x14ac:dyDescent="0.2">
      <c r="A47" t="str">
        <f>CHOOSE(1+LOG(1+2*(J47="Meta")+4*(J47="Nível 2")+8*(J47="Nível 3")+16*(J47="Nível 4")+32*(J47="Serviço"),2),0,1,2,3,4,"S")</f>
        <v>S</v>
      </c>
      <c r="B47">
        <f>IF(OR(A47="S",A47=0),0,IF(ISERROR(I47),H47,SMALL(H47:I47,1)))</f>
        <v>0</v>
      </c>
      <c r="C47">
        <f ca="1">IF($A47=1,OFFSET(C47,-1,0)+1,OFFSET(C47,-1,0))</f>
        <v>3</v>
      </c>
      <c r="D47">
        <f ca="1">IF($A47=1,0,IF($A47=2,OFFSET(D47,-1,0)+1,OFFSET(D47,-1,0)))</f>
        <v>3</v>
      </c>
      <c r="E47">
        <f ca="1">IF(AND($A47&lt;=2,$A47&lt;&gt;0),0,IF($A47=3,OFFSET(E47,-1,0)+1,OFFSET(E47,-1,0)))</f>
        <v>0</v>
      </c>
      <c r="F47">
        <f ca="1">IF(AND($A47&lt;=3,$A47&lt;&gt;0),0,IF($A47=4,OFFSET(F47,-1,0)+1,OFFSET(F47,-1,0)))</f>
        <v>0</v>
      </c>
      <c r="G47">
        <f ca="1">IF(AND($A47&lt;=4,$A47&lt;&gt;0),0,IF($A47="S",OFFSET(G47,-1,0)+1,OFFSET(G47,-1,0)))</f>
        <v>3</v>
      </c>
      <c r="H47">
        <f t="shared" ca="1" si="39"/>
        <v>0</v>
      </c>
      <c r="I47">
        <f t="shared" ca="1" si="40"/>
        <v>0</v>
      </c>
      <c r="J47" s="120" t="s">
        <v>103</v>
      </c>
      <c r="K47" s="162" t="str">
        <f ca="1">IF($A47=0,"-",CONCATENATE(C47&amp;".",IF(AND($A$5&gt;=2,$A47&gt;=2),D47&amp;".",""),IF(AND($A$5&gt;=3,$A47&gt;=3),E47&amp;".",""),IF(AND($A$5&gt;=4,$A47&gt;=4),F47&amp;".",""),IF($A47="S",G47&amp;".","")))</f>
        <v>3.3.3.</v>
      </c>
      <c r="L47" s="209" t="s">
        <v>353</v>
      </c>
      <c r="M47" s="209" t="s">
        <v>402</v>
      </c>
      <c r="N47" s="230" t="s">
        <v>404</v>
      </c>
      <c r="O47" s="229" t="s">
        <v>243</v>
      </c>
      <c r="P47" s="232">
        <v>63.21</v>
      </c>
      <c r="Q47" s="228">
        <v>483.57</v>
      </c>
      <c r="R47" s="231" t="s">
        <v>7</v>
      </c>
      <c r="S47" s="121">
        <f ca="1">IF($A47="S",IF($Q$10="Preço Unitário (R$)",PO.CustoUnitario,ROUND(PO.CustoUnitario*(1+$Z47),15-13*$X$6)),0)</f>
        <v>591.07000000000005</v>
      </c>
      <c r="T47" s="98">
        <f ca="1">IF($A47="S",VTOTAL1,IF($A47=0,0,ROUND(SomaAgrup,15-13*$X$7)))</f>
        <v>37361.53</v>
      </c>
      <c r="U47" s="13" t="str">
        <f ca="1">IF($J47="","",IF($N47="","DESCRIÇÃO",IF(AND($J47="Serviço",$O47=""),"UNIDADE",IF($T47&lt;=0,"SEM VALOR",IF(AND($Y47&lt;&gt;"",$Q47&gt;$Y47),"ACIMA REF.","")))))</f>
        <v>ACIMA REF.</v>
      </c>
      <c r="V47" s="4" t="str">
        <f ca="1">IF(OR($A47=0,$A47="S",$A47&gt;CFF!$A$9),"",MAX(V$12:OFFSET(V47,-1,0))+1)</f>
        <v/>
      </c>
      <c r="W47" s="9" t="str">
        <f>IF(AND($J47="Serviço",$M47&lt;&gt;""),IF($L47="",$M47,CONCATENATE($L47,"-",$M47)))</f>
        <v>PRÓPRIA-0005</v>
      </c>
      <c r="X47" s="4" t="e">
        <f ca="1">IF(AND(Fonte&lt;&gt;"",Código&lt;&gt;""),MATCH(Fonte&amp;" "&amp;IF(Fonte="sinapi",SUBSTITUTE(SUBSTITUTE(Código,"/00","/"),"/0","/"),Código),INDIRECT("'[Referência "&amp;_xlnm.Database&amp;".xls]Banco'!$a:$a"),0),"X")</f>
        <v>#REF!</v>
      </c>
      <c r="Y47" s="121">
        <f ca="1">IF(Import.Desoneracao="sim",Referencia.Desonerado,Referencia.NaoDesonerado)</f>
        <v>0</v>
      </c>
      <c r="Z47" s="132">
        <f ca="1">ROUND(IF(ISNUMBER(R47),R47,IF(LEFT(R47,3)="BDI",HLOOKUP(R47,DADOS!$T$37:$X$38,2,FALSE),0)),15-11*$X$5)</f>
        <v>0.2223</v>
      </c>
      <c r="AA47" s="4"/>
    </row>
    <row r="48" spans="1:27" x14ac:dyDescent="0.2">
      <c r="A48" t="str">
        <f t="shared" si="0"/>
        <v>S</v>
      </c>
      <c r="B48">
        <f t="shared" si="1"/>
        <v>0</v>
      </c>
      <c r="C48">
        <f t="shared" ca="1" si="2"/>
        <v>3</v>
      </c>
      <c r="D48">
        <f t="shared" ca="1" si="3"/>
        <v>3</v>
      </c>
      <c r="E48">
        <f t="shared" ca="1" si="4"/>
        <v>0</v>
      </c>
      <c r="F48">
        <f t="shared" ca="1" si="5"/>
        <v>0</v>
      </c>
      <c r="G48">
        <f t="shared" ca="1" si="6"/>
        <v>4</v>
      </c>
      <c r="H48">
        <f t="shared" ca="1" si="39"/>
        <v>0</v>
      </c>
      <c r="I48">
        <f t="shared" ca="1" si="40"/>
        <v>0</v>
      </c>
      <c r="J48" s="120" t="s">
        <v>103</v>
      </c>
      <c r="K48" s="162" t="str">
        <f t="shared" ca="1" si="9"/>
        <v>3.3.4.</v>
      </c>
      <c r="L48" s="209" t="s">
        <v>238</v>
      </c>
      <c r="M48" s="209" t="s">
        <v>282</v>
      </c>
      <c r="N48" s="230" t="s">
        <v>318</v>
      </c>
      <c r="O48" s="229" t="s">
        <v>246</v>
      </c>
      <c r="P48" s="232">
        <v>17.600000000000001</v>
      </c>
      <c r="Q48" s="228">
        <v>89.19</v>
      </c>
      <c r="R48" s="231" t="s">
        <v>7</v>
      </c>
      <c r="S48" s="121">
        <f t="shared" ca="1" si="10"/>
        <v>109.02</v>
      </c>
      <c r="T48" s="98">
        <f t="shared" ca="1" si="11"/>
        <v>1918.75</v>
      </c>
      <c r="U48" s="13" t="str">
        <f t="shared" ca="1" si="12"/>
        <v>ACIMA REF.</v>
      </c>
      <c r="V48" s="4" t="str">
        <f ca="1">IF(OR($A48=0,$A48="S",$A48&gt;CFF!$A$9),"",MAX(V$12:OFFSET(V48,-1,0))+1)</f>
        <v/>
      </c>
      <c r="W48" s="9" t="str">
        <f t="shared" si="13"/>
        <v>SINAPI-98689</v>
      </c>
      <c r="X48" s="4" t="e">
        <f t="shared" ca="1" si="14"/>
        <v>#REF!</v>
      </c>
      <c r="Y48" s="121">
        <f t="shared" ca="1" si="15"/>
        <v>0</v>
      </c>
      <c r="Z48" s="132">
        <f ca="1">ROUND(IF(ISNUMBER(R48),R48,IF(LEFT(R48,3)="BDI",HLOOKUP(R48,DADOS!$T$37:$X$38,2,FALSE),0)),15-11*$X$5)</f>
        <v>0.2223</v>
      </c>
      <c r="AA48" s="4"/>
    </row>
    <row r="49" spans="1:27" ht="38.25" x14ac:dyDescent="0.2">
      <c r="A49" t="str">
        <f>CHOOSE(1+LOG(1+2*(J49="Meta")+4*(J49="Nível 2")+8*(J49="Nível 3")+16*(J49="Nível 4")+32*(J49="Serviço"),2),0,1,2,3,4,"S")</f>
        <v>S</v>
      </c>
      <c r="B49">
        <f>IF(OR(A49="S",A49=0),0,IF(ISERROR(I49),H49,SMALL(H49:I49,1)))</f>
        <v>0</v>
      </c>
      <c r="C49">
        <f ca="1">IF($A49=1,OFFSET(C49,-1,0)+1,OFFSET(C49,-1,0))</f>
        <v>3</v>
      </c>
      <c r="D49">
        <f ca="1">IF($A49=1,0,IF($A49=2,OFFSET(D49,-1,0)+1,OFFSET(D49,-1,0)))</f>
        <v>3</v>
      </c>
      <c r="E49">
        <f ca="1">IF(AND($A49&lt;=2,$A49&lt;&gt;0),0,IF($A49=3,OFFSET(E49,-1,0)+1,OFFSET(E49,-1,0)))</f>
        <v>0</v>
      </c>
      <c r="F49">
        <f ca="1">IF(AND($A49&lt;=3,$A49&lt;&gt;0),0,IF($A49=4,OFFSET(F49,-1,0)+1,OFFSET(F49,-1,0)))</f>
        <v>0</v>
      </c>
      <c r="G49">
        <f ca="1">IF(AND($A49&lt;=4,$A49&lt;&gt;0),0,IF($A49="S",OFFSET(G49,-1,0)+1,OFFSET(G49,-1,0)))</f>
        <v>5</v>
      </c>
      <c r="H49">
        <f t="shared" ca="1" si="39"/>
        <v>0</v>
      </c>
      <c r="I49">
        <f t="shared" ca="1" si="40"/>
        <v>0</v>
      </c>
      <c r="J49" s="120" t="s">
        <v>103</v>
      </c>
      <c r="K49" s="162" t="str">
        <f ca="1">IF($A49=0,"-",CONCATENATE(C49&amp;".",IF(AND($A$5&gt;=2,$A49&gt;=2),D49&amp;".",""),IF(AND($A$5&gt;=3,$A49&gt;=3),E49&amp;".",""),IF(AND($A$5&gt;=4,$A49&gt;=4),F49&amp;".",""),IF($A49="S",G49&amp;".","")))</f>
        <v>3.3.5.</v>
      </c>
      <c r="L49" s="209" t="s">
        <v>353</v>
      </c>
      <c r="M49" s="209" t="s">
        <v>361</v>
      </c>
      <c r="N49" s="230" t="s">
        <v>400</v>
      </c>
      <c r="O49" s="229" t="s">
        <v>243</v>
      </c>
      <c r="P49" s="232">
        <v>26.4</v>
      </c>
      <c r="Q49" s="228">
        <v>679.57</v>
      </c>
      <c r="R49" s="231" t="s">
        <v>7</v>
      </c>
      <c r="S49" s="121">
        <f ca="1">IF($A49="S",IF($Q$10="Preço Unitário (R$)",PO.CustoUnitario,ROUND(PO.CustoUnitario*(1+$Z49),15-13*$X$6)),0)</f>
        <v>830.64</v>
      </c>
      <c r="T49" s="98">
        <f ca="1">IF($A49="S",VTOTAL1,IF($A49=0,0,ROUND(SomaAgrup,15-13*$X$7)))</f>
        <v>21928.9</v>
      </c>
      <c r="U49" s="13" t="str">
        <f ca="1">IF($J49="","",IF($N49="","DESCRIÇÃO",IF(AND($J49="Serviço",$O49=""),"UNIDADE",IF($T49&lt;=0,"SEM VALOR",IF(AND($Y49&lt;&gt;"",$Q49&gt;$Y49),"ACIMA REF.","")))))</f>
        <v>ACIMA REF.</v>
      </c>
      <c r="V49" s="4" t="str">
        <f ca="1">IF(OR($A49=0,$A49="S",$A49&gt;CFF!$A$9),"",MAX(V$12:OFFSET(V49,-1,0))+1)</f>
        <v/>
      </c>
      <c r="W49" s="9" t="str">
        <f>IF(AND($J49="Serviço",$M49&lt;&gt;""),IF($L49="",$M49,CONCATENATE($L49,"-",$M49)))</f>
        <v>PRÓPRIA-0002</v>
      </c>
      <c r="X49" s="4" t="e">
        <f ca="1">IF(AND(Fonte&lt;&gt;"",Código&lt;&gt;""),MATCH(Fonte&amp;" "&amp;IF(Fonte="sinapi",SUBSTITUTE(SUBSTITUTE(Código,"/00","/"),"/0","/"),Código),INDIRECT("'[Referência "&amp;_xlnm.Database&amp;".xls]Banco'!$a:$a"),0),"X")</f>
        <v>#REF!</v>
      </c>
      <c r="Y49" s="121">
        <f ca="1">IF(Import.Desoneracao="sim",Referencia.Desonerado,Referencia.NaoDesonerado)</f>
        <v>0</v>
      </c>
      <c r="Z49" s="132">
        <f ca="1">ROUND(IF(ISNUMBER(R49),R49,IF(LEFT(R49,3)="BDI",HLOOKUP(R49,DADOS!$T$37:$X$38,2,FALSE),0)),15-11*$X$5)</f>
        <v>0.2223</v>
      </c>
      <c r="AA49" s="4"/>
    </row>
    <row r="50" spans="1:27" x14ac:dyDescent="0.2">
      <c r="A50">
        <f t="shared" si="0"/>
        <v>2</v>
      </c>
      <c r="B50">
        <f t="shared" ca="1" si="1"/>
        <v>14</v>
      </c>
      <c r="C50">
        <f t="shared" ca="1" si="2"/>
        <v>3</v>
      </c>
      <c r="D50">
        <f t="shared" ca="1" si="3"/>
        <v>4</v>
      </c>
      <c r="E50">
        <f t="shared" ca="1" si="4"/>
        <v>0</v>
      </c>
      <c r="F50">
        <f t="shared" ca="1" si="5"/>
        <v>0</v>
      </c>
      <c r="G50">
        <f t="shared" ca="1" si="6"/>
        <v>0</v>
      </c>
      <c r="H50">
        <f t="shared" ca="1" si="39"/>
        <v>30</v>
      </c>
      <c r="I50">
        <f t="shared" ca="1" si="40"/>
        <v>14</v>
      </c>
      <c r="J50" s="120" t="s">
        <v>100</v>
      </c>
      <c r="K50" s="162" t="str">
        <f t="shared" ca="1" si="9"/>
        <v>3.4.</v>
      </c>
      <c r="L50" s="209" t="s">
        <v>238</v>
      </c>
      <c r="M50" s="209"/>
      <c r="N50" s="230" t="s">
        <v>283</v>
      </c>
      <c r="O50" s="229" t="str">
        <f ca="1">Referencia.Unidade</f>
        <v/>
      </c>
      <c r="P50" s="232"/>
      <c r="Q50" s="228"/>
      <c r="R50" s="231" t="s">
        <v>7</v>
      </c>
      <c r="S50" s="121">
        <f t="shared" si="10"/>
        <v>0</v>
      </c>
      <c r="T50" s="98">
        <f t="shared" ca="1" si="11"/>
        <v>10251.94</v>
      </c>
      <c r="U50" s="13" t="str">
        <f t="shared" ca="1" si="12"/>
        <v/>
      </c>
      <c r="V50" s="4">
        <f ca="1">IF(OR($A50=0,$A50="S",$A50&gt;CFF!$A$9),"",MAX(V$12:OFFSET(V50,-1,0))+1)</f>
        <v>7</v>
      </c>
      <c r="W50" s="9" t="b">
        <f t="shared" si="13"/>
        <v>0</v>
      </c>
      <c r="X50" s="4" t="str">
        <f t="shared" ca="1" si="14"/>
        <v>X</v>
      </c>
      <c r="Y50" s="121">
        <f t="shared" ca="1" si="15"/>
        <v>0</v>
      </c>
      <c r="Z50" s="132">
        <f ca="1">ROUND(IF(ISNUMBER(R50),R50,IF(LEFT(R50,3)="BDI",HLOOKUP(R50,DADOS!$T$37:$X$38,2,FALSE),0)),15-11*$X$5)</f>
        <v>0.2223</v>
      </c>
      <c r="AA50" s="4"/>
    </row>
    <row r="51" spans="1:27" ht="38.25" x14ac:dyDescent="0.2">
      <c r="A51" t="str">
        <f t="shared" si="0"/>
        <v>S</v>
      </c>
      <c r="B51">
        <f t="shared" si="1"/>
        <v>0</v>
      </c>
      <c r="C51">
        <f t="shared" ca="1" si="2"/>
        <v>3</v>
      </c>
      <c r="D51">
        <f t="shared" ca="1" si="3"/>
        <v>4</v>
      </c>
      <c r="E51">
        <f t="shared" ca="1" si="4"/>
        <v>0</v>
      </c>
      <c r="F51">
        <f t="shared" ca="1" si="5"/>
        <v>0</v>
      </c>
      <c r="G51">
        <f t="shared" ca="1" si="6"/>
        <v>1</v>
      </c>
      <c r="H51">
        <f t="shared" ca="1" si="39"/>
        <v>0</v>
      </c>
      <c r="I51">
        <f t="shared" ca="1" si="40"/>
        <v>0</v>
      </c>
      <c r="J51" s="120" t="s">
        <v>103</v>
      </c>
      <c r="K51" s="162" t="str">
        <f t="shared" ca="1" si="9"/>
        <v>3.4.1.</v>
      </c>
      <c r="L51" s="209" t="s">
        <v>238</v>
      </c>
      <c r="M51" s="209" t="s">
        <v>284</v>
      </c>
      <c r="N51" s="230" t="s">
        <v>319</v>
      </c>
      <c r="O51" s="229" t="s">
        <v>245</v>
      </c>
      <c r="P51" s="232">
        <v>6</v>
      </c>
      <c r="Q51" s="228">
        <v>394.68</v>
      </c>
      <c r="R51" s="231" t="s">
        <v>7</v>
      </c>
      <c r="S51" s="121">
        <f t="shared" ca="1" si="10"/>
        <v>482.42</v>
      </c>
      <c r="T51" s="98">
        <f t="shared" ca="1" si="11"/>
        <v>2894.52</v>
      </c>
      <c r="U51" s="13" t="str">
        <f t="shared" ca="1" si="12"/>
        <v>ACIMA REF.</v>
      </c>
      <c r="V51" s="4" t="str">
        <f ca="1">IF(OR($A51=0,$A51="S",$A51&gt;CFF!$A$9),"",MAX(V$12:OFFSET(V51,-1,0))+1)</f>
        <v/>
      </c>
      <c r="W51" s="9" t="str">
        <f t="shared" si="13"/>
        <v>SINAPI-86931</v>
      </c>
      <c r="X51" s="4" t="e">
        <f t="shared" ca="1" si="14"/>
        <v>#REF!</v>
      </c>
      <c r="Y51" s="121">
        <f t="shared" ca="1" si="15"/>
        <v>0</v>
      </c>
      <c r="Z51" s="132">
        <f ca="1">ROUND(IF(ISNUMBER(R51),R51,IF(LEFT(R51,3)="BDI",HLOOKUP(R51,DADOS!$T$37:$X$38,2,FALSE),0)),15-11*$X$5)</f>
        <v>0.2223</v>
      </c>
      <c r="AA51" s="4"/>
    </row>
    <row r="52" spans="1:27" ht="38.25" x14ac:dyDescent="0.2">
      <c r="A52" t="str">
        <f t="shared" si="0"/>
        <v>S</v>
      </c>
      <c r="B52">
        <f t="shared" si="1"/>
        <v>0</v>
      </c>
      <c r="C52">
        <f t="shared" ca="1" si="2"/>
        <v>3</v>
      </c>
      <c r="D52">
        <f t="shared" ca="1" si="3"/>
        <v>4</v>
      </c>
      <c r="E52">
        <f t="shared" ca="1" si="4"/>
        <v>0</v>
      </c>
      <c r="F52">
        <f t="shared" ca="1" si="5"/>
        <v>0</v>
      </c>
      <c r="G52">
        <f t="shared" ca="1" si="6"/>
        <v>2</v>
      </c>
      <c r="H52">
        <f t="shared" ca="1" si="39"/>
        <v>0</v>
      </c>
      <c r="I52">
        <f t="shared" ca="1" si="40"/>
        <v>0</v>
      </c>
      <c r="J52" s="120" t="s">
        <v>103</v>
      </c>
      <c r="K52" s="162" t="str">
        <f t="shared" ca="1" si="9"/>
        <v>3.4.2.</v>
      </c>
      <c r="L52" s="209" t="s">
        <v>238</v>
      </c>
      <c r="M52" s="209" t="s">
        <v>285</v>
      </c>
      <c r="N52" s="230" t="s">
        <v>320</v>
      </c>
      <c r="O52" s="229" t="s">
        <v>245</v>
      </c>
      <c r="P52" s="232">
        <v>1</v>
      </c>
      <c r="Q52" s="228">
        <v>686.62</v>
      </c>
      <c r="R52" s="231" t="s">
        <v>7</v>
      </c>
      <c r="S52" s="121">
        <f t="shared" ca="1" si="10"/>
        <v>839.26</v>
      </c>
      <c r="T52" s="98">
        <f t="shared" ca="1" si="11"/>
        <v>839.26</v>
      </c>
      <c r="U52" s="13" t="str">
        <f t="shared" ca="1" si="12"/>
        <v>ACIMA REF.</v>
      </c>
      <c r="V52" s="4" t="str">
        <f ca="1">IF(OR($A52=0,$A52="S",$A52&gt;CFF!$A$9),"",MAX(V$12:OFFSET(V52,-1,0))+1)</f>
        <v/>
      </c>
      <c r="W52" s="9" t="str">
        <f t="shared" si="13"/>
        <v>SINAPI-95472</v>
      </c>
      <c r="X52" s="4" t="e">
        <f t="shared" ca="1" si="14"/>
        <v>#REF!</v>
      </c>
      <c r="Y52" s="121">
        <f t="shared" ca="1" si="15"/>
        <v>0</v>
      </c>
      <c r="Z52" s="132">
        <f ca="1">ROUND(IF(ISNUMBER(R52),R52,IF(LEFT(R52,3)="BDI",HLOOKUP(R52,DADOS!$T$37:$X$38,2,FALSE),0)),15-11*$X$5)</f>
        <v>0.2223</v>
      </c>
      <c r="AA52" s="4"/>
    </row>
    <row r="53" spans="1:27" ht="25.5" x14ac:dyDescent="0.2">
      <c r="A53" t="str">
        <f t="shared" si="0"/>
        <v>S</v>
      </c>
      <c r="B53">
        <f t="shared" si="1"/>
        <v>0</v>
      </c>
      <c r="C53">
        <f t="shared" ca="1" si="2"/>
        <v>3</v>
      </c>
      <c r="D53">
        <f t="shared" ca="1" si="3"/>
        <v>4</v>
      </c>
      <c r="E53">
        <f t="shared" ca="1" si="4"/>
        <v>0</v>
      </c>
      <c r="F53">
        <f t="shared" ca="1" si="5"/>
        <v>0</v>
      </c>
      <c r="G53">
        <f t="shared" ca="1" si="6"/>
        <v>3</v>
      </c>
      <c r="H53">
        <f t="shared" ca="1" si="39"/>
        <v>0</v>
      </c>
      <c r="I53">
        <f t="shared" ca="1" si="40"/>
        <v>0</v>
      </c>
      <c r="J53" s="120" t="s">
        <v>103</v>
      </c>
      <c r="K53" s="162" t="str">
        <f t="shared" ca="1" si="9"/>
        <v>3.4.3.</v>
      </c>
      <c r="L53" s="209" t="s">
        <v>238</v>
      </c>
      <c r="M53" s="209" t="s">
        <v>286</v>
      </c>
      <c r="N53" s="230" t="s">
        <v>321</v>
      </c>
      <c r="O53" s="229" t="s">
        <v>245</v>
      </c>
      <c r="P53" s="232">
        <v>7</v>
      </c>
      <c r="Q53" s="228">
        <v>66.12</v>
      </c>
      <c r="R53" s="231" t="s">
        <v>7</v>
      </c>
      <c r="S53" s="121">
        <f t="shared" ca="1" si="10"/>
        <v>80.819999999999993</v>
      </c>
      <c r="T53" s="98">
        <f t="shared" ca="1" si="11"/>
        <v>565.74</v>
      </c>
      <c r="U53" s="13" t="str">
        <f t="shared" ca="1" si="12"/>
        <v>ACIMA REF.</v>
      </c>
      <c r="V53" s="4" t="str">
        <f ca="1">IF(OR($A53=0,$A53="S",$A53&gt;CFF!$A$9),"",MAX(V$12:OFFSET(V53,-1,0))+1)</f>
        <v/>
      </c>
      <c r="W53" s="9" t="str">
        <f t="shared" si="13"/>
        <v>SINAPI-100860</v>
      </c>
      <c r="X53" s="4" t="e">
        <f t="shared" ca="1" si="14"/>
        <v>#REF!</v>
      </c>
      <c r="Y53" s="121">
        <f t="shared" ca="1" si="15"/>
        <v>0</v>
      </c>
      <c r="Z53" s="132">
        <f ca="1">ROUND(IF(ISNUMBER(R53),R53,IF(LEFT(R53,3)="BDI",HLOOKUP(R53,DADOS!$T$37:$X$38,2,FALSE),0)),15-11*$X$5)</f>
        <v>0.2223</v>
      </c>
      <c r="AA53" s="4"/>
    </row>
    <row r="54" spans="1:27" ht="51" x14ac:dyDescent="0.2">
      <c r="A54" t="str">
        <f t="shared" si="0"/>
        <v>S</v>
      </c>
      <c r="B54">
        <f t="shared" si="1"/>
        <v>0</v>
      </c>
      <c r="C54">
        <f t="shared" ca="1" si="2"/>
        <v>3</v>
      </c>
      <c r="D54">
        <f t="shared" ca="1" si="3"/>
        <v>4</v>
      </c>
      <c r="E54">
        <f t="shared" ca="1" si="4"/>
        <v>0</v>
      </c>
      <c r="F54">
        <f t="shared" ca="1" si="5"/>
        <v>0</v>
      </c>
      <c r="G54">
        <f t="shared" ca="1" si="6"/>
        <v>4</v>
      </c>
      <c r="H54">
        <f t="shared" ca="1" si="39"/>
        <v>0</v>
      </c>
      <c r="I54">
        <f t="shared" ca="1" si="40"/>
        <v>0</v>
      </c>
      <c r="J54" s="120" t="s">
        <v>103</v>
      </c>
      <c r="K54" s="162" t="str">
        <f t="shared" ca="1" si="9"/>
        <v>3.4.4.</v>
      </c>
      <c r="L54" s="209" t="s">
        <v>238</v>
      </c>
      <c r="M54" s="209" t="s">
        <v>287</v>
      </c>
      <c r="N54" s="230" t="s">
        <v>322</v>
      </c>
      <c r="O54" s="229" t="s">
        <v>245</v>
      </c>
      <c r="P54" s="232">
        <v>3</v>
      </c>
      <c r="Q54" s="228">
        <v>516.32000000000005</v>
      </c>
      <c r="R54" s="231" t="s">
        <v>7</v>
      </c>
      <c r="S54" s="121">
        <f t="shared" ca="1" si="10"/>
        <v>631.1</v>
      </c>
      <c r="T54" s="98">
        <f t="shared" ca="1" si="11"/>
        <v>1893.3</v>
      </c>
      <c r="U54" s="13" t="str">
        <f t="shared" ca="1" si="12"/>
        <v>ACIMA REF.</v>
      </c>
      <c r="V54" s="4" t="str">
        <f ca="1">IF(OR($A54=0,$A54="S",$A54&gt;CFF!$A$9),"",MAX(V$12:OFFSET(V54,-1,0))+1)</f>
        <v/>
      </c>
      <c r="W54" s="9" t="str">
        <f t="shared" si="13"/>
        <v>SINAPI-93396</v>
      </c>
      <c r="X54" s="4" t="e">
        <f t="shared" ca="1" si="14"/>
        <v>#REF!</v>
      </c>
      <c r="Y54" s="121">
        <f t="shared" ca="1" si="15"/>
        <v>0</v>
      </c>
      <c r="Z54" s="132">
        <f ca="1">ROUND(IF(ISNUMBER(R54),R54,IF(LEFT(R54,3)="BDI",HLOOKUP(R54,DADOS!$T$37:$X$38,2,FALSE),0)),15-11*$X$5)</f>
        <v>0.2223</v>
      </c>
      <c r="AA54" s="4"/>
    </row>
    <row r="55" spans="1:27" ht="51" x14ac:dyDescent="0.2">
      <c r="A55" t="str">
        <f t="shared" si="0"/>
        <v>S</v>
      </c>
      <c r="B55">
        <f t="shared" si="1"/>
        <v>0</v>
      </c>
      <c r="C55">
        <f t="shared" ca="1" si="2"/>
        <v>3</v>
      </c>
      <c r="D55">
        <f t="shared" ca="1" si="3"/>
        <v>4</v>
      </c>
      <c r="E55">
        <f t="shared" ca="1" si="4"/>
        <v>0</v>
      </c>
      <c r="F55">
        <f t="shared" ca="1" si="5"/>
        <v>0</v>
      </c>
      <c r="G55">
        <f t="shared" ca="1" si="6"/>
        <v>5</v>
      </c>
      <c r="H55">
        <f t="shared" ca="1" si="39"/>
        <v>0</v>
      </c>
      <c r="I55">
        <f t="shared" ca="1" si="40"/>
        <v>0</v>
      </c>
      <c r="J55" s="120" t="s">
        <v>103</v>
      </c>
      <c r="K55" s="162" t="str">
        <f t="shared" ca="1" si="9"/>
        <v>3.4.5.</v>
      </c>
      <c r="L55" s="209" t="s">
        <v>238</v>
      </c>
      <c r="M55" s="209" t="s">
        <v>288</v>
      </c>
      <c r="N55" s="230" t="s">
        <v>323</v>
      </c>
      <c r="O55" s="229" t="s">
        <v>245</v>
      </c>
      <c r="P55" s="232">
        <v>3</v>
      </c>
      <c r="Q55" s="228">
        <v>200.59</v>
      </c>
      <c r="R55" s="231" t="s">
        <v>7</v>
      </c>
      <c r="S55" s="121">
        <f t="shared" ca="1" si="10"/>
        <v>245.18</v>
      </c>
      <c r="T55" s="98">
        <f t="shared" ca="1" si="11"/>
        <v>735.54</v>
      </c>
      <c r="U55" s="13" t="str">
        <f t="shared" ca="1" si="12"/>
        <v>ACIMA REF.</v>
      </c>
      <c r="V55" s="4" t="str">
        <f ca="1">IF(OR($A55=0,$A55="S",$A55&gt;CFF!$A$9),"",MAX(V$12:OFFSET(V55,-1,0))+1)</f>
        <v/>
      </c>
      <c r="W55" s="9" t="str">
        <f t="shared" si="13"/>
        <v>SINAPI-86942</v>
      </c>
      <c r="X55" s="4" t="e">
        <f t="shared" ca="1" si="14"/>
        <v>#REF!</v>
      </c>
      <c r="Y55" s="121">
        <f t="shared" ca="1" si="15"/>
        <v>0</v>
      </c>
      <c r="Z55" s="132">
        <f ca="1">ROUND(IF(ISNUMBER(R55),R55,IF(LEFT(R55,3)="BDI",HLOOKUP(R55,DADOS!$T$37:$X$38,2,FALSE),0)),15-11*$X$5)</f>
        <v>0.2223</v>
      </c>
      <c r="AA55" s="4"/>
    </row>
    <row r="56" spans="1:27" ht="25.5" x14ac:dyDescent="0.2">
      <c r="A56" t="str">
        <f t="shared" si="0"/>
        <v>S</v>
      </c>
      <c r="B56">
        <f t="shared" si="1"/>
        <v>0</v>
      </c>
      <c r="C56">
        <f t="shared" ca="1" si="2"/>
        <v>3</v>
      </c>
      <c r="D56">
        <f t="shared" ca="1" si="3"/>
        <v>4</v>
      </c>
      <c r="E56">
        <f t="shared" ca="1" si="4"/>
        <v>0</v>
      </c>
      <c r="F56">
        <f t="shared" ca="1" si="5"/>
        <v>0</v>
      </c>
      <c r="G56">
        <f t="shared" ca="1" si="6"/>
        <v>6</v>
      </c>
      <c r="H56">
        <f t="shared" ca="1" si="39"/>
        <v>0</v>
      </c>
      <c r="I56">
        <f t="shared" ca="1" si="40"/>
        <v>0</v>
      </c>
      <c r="J56" s="120" t="s">
        <v>103</v>
      </c>
      <c r="K56" s="162" t="str">
        <f t="shared" ca="1" si="9"/>
        <v>3.4.6.</v>
      </c>
      <c r="L56" s="209" t="s">
        <v>238</v>
      </c>
      <c r="M56" s="209" t="s">
        <v>362</v>
      </c>
      <c r="N56" s="230" t="s">
        <v>382</v>
      </c>
      <c r="O56" s="229" t="s">
        <v>245</v>
      </c>
      <c r="P56" s="232">
        <v>1</v>
      </c>
      <c r="Q56" s="228">
        <v>556.51</v>
      </c>
      <c r="R56" s="231" t="s">
        <v>7</v>
      </c>
      <c r="S56" s="121">
        <f t="shared" ca="1" si="10"/>
        <v>680.22</v>
      </c>
      <c r="T56" s="98">
        <f t="shared" ca="1" si="11"/>
        <v>680.22</v>
      </c>
      <c r="U56" s="13" t="str">
        <f t="shared" ca="1" si="12"/>
        <v>ACIMA REF.</v>
      </c>
      <c r="V56" s="4" t="str">
        <f ca="1">IF(OR($A56=0,$A56="S",$A56&gt;CFF!$A$9),"",MAX(V$12:OFFSET(V56,-1,0))+1)</f>
        <v/>
      </c>
      <c r="W56" s="9" t="str">
        <f t="shared" si="13"/>
        <v>SINAPI-100865</v>
      </c>
      <c r="X56" s="4" t="e">
        <f t="shared" ca="1" si="14"/>
        <v>#REF!</v>
      </c>
      <c r="Y56" s="121">
        <f t="shared" ca="1" si="15"/>
        <v>0</v>
      </c>
      <c r="Z56" s="132">
        <f ca="1">ROUND(IF(ISNUMBER(R56),R56,IF(LEFT(R56,3)="BDI",HLOOKUP(R56,DADOS!$T$37:$X$38,2,FALSE),0)),15-11*$X$5)</f>
        <v>0.2223</v>
      </c>
      <c r="AA56" s="4"/>
    </row>
    <row r="57" spans="1:27" ht="25.5" x14ac:dyDescent="0.2">
      <c r="A57" t="str">
        <f t="shared" si="0"/>
        <v>S</v>
      </c>
      <c r="B57">
        <f t="shared" si="1"/>
        <v>0</v>
      </c>
      <c r="C57">
        <f t="shared" ca="1" si="2"/>
        <v>3</v>
      </c>
      <c r="D57">
        <f t="shared" ca="1" si="3"/>
        <v>4</v>
      </c>
      <c r="E57">
        <f t="shared" ca="1" si="4"/>
        <v>0</v>
      </c>
      <c r="F57">
        <f t="shared" ca="1" si="5"/>
        <v>0</v>
      </c>
      <c r="G57">
        <f t="shared" ca="1" si="6"/>
        <v>7</v>
      </c>
      <c r="H57">
        <f t="shared" ca="1" si="39"/>
        <v>0</v>
      </c>
      <c r="I57">
        <f t="shared" ca="1" si="40"/>
        <v>0</v>
      </c>
      <c r="J57" s="120" t="s">
        <v>103</v>
      </c>
      <c r="K57" s="162" t="str">
        <f t="shared" ca="1" si="9"/>
        <v>3.4.7.</v>
      </c>
      <c r="L57" s="209" t="s">
        <v>238</v>
      </c>
      <c r="M57" s="209" t="s">
        <v>363</v>
      </c>
      <c r="N57" s="230" t="s">
        <v>383</v>
      </c>
      <c r="O57" s="229" t="s">
        <v>245</v>
      </c>
      <c r="P57" s="232">
        <v>1</v>
      </c>
      <c r="Q57" s="228">
        <v>291.95999999999998</v>
      </c>
      <c r="R57" s="231" t="s">
        <v>7</v>
      </c>
      <c r="S57" s="121">
        <f t="shared" ca="1" si="10"/>
        <v>356.86</v>
      </c>
      <c r="T57" s="98">
        <f t="shared" ca="1" si="11"/>
        <v>356.86</v>
      </c>
      <c r="U57" s="13" t="str">
        <f t="shared" ca="1" si="12"/>
        <v>ACIMA REF.</v>
      </c>
      <c r="V57" s="4" t="str">
        <f ca="1">IF(OR($A57=0,$A57="S",$A57&gt;CFF!$A$9),"",MAX(V$12:OFFSET(V57,-1,0))+1)</f>
        <v/>
      </c>
      <c r="W57" s="9" t="str">
        <f t="shared" si="13"/>
        <v>SINAPI-100868</v>
      </c>
      <c r="X57" s="4" t="e">
        <f t="shared" ca="1" si="14"/>
        <v>#REF!</v>
      </c>
      <c r="Y57" s="121">
        <f t="shared" ca="1" si="15"/>
        <v>0</v>
      </c>
      <c r="Z57" s="132">
        <f ca="1">ROUND(IF(ISNUMBER(R57),R57,IF(LEFT(R57,3)="BDI",HLOOKUP(R57,DADOS!$T$37:$X$38,2,FALSE),0)),15-11*$X$5)</f>
        <v>0.2223</v>
      </c>
      <c r="AA57" s="4"/>
    </row>
    <row r="58" spans="1:27" ht="25.5" x14ac:dyDescent="0.2">
      <c r="A58" t="str">
        <f t="shared" si="0"/>
        <v>S</v>
      </c>
      <c r="B58">
        <f t="shared" si="1"/>
        <v>0</v>
      </c>
      <c r="C58">
        <f t="shared" ca="1" si="2"/>
        <v>3</v>
      </c>
      <c r="D58">
        <f t="shared" ca="1" si="3"/>
        <v>4</v>
      </c>
      <c r="E58">
        <f t="shared" ca="1" si="4"/>
        <v>0</v>
      </c>
      <c r="F58">
        <f t="shared" ca="1" si="5"/>
        <v>0</v>
      </c>
      <c r="G58">
        <f t="shared" ca="1" si="6"/>
        <v>8</v>
      </c>
      <c r="H58">
        <f t="shared" ca="1" si="39"/>
        <v>0</v>
      </c>
      <c r="I58">
        <f t="shared" ca="1" si="40"/>
        <v>0</v>
      </c>
      <c r="J58" s="120" t="s">
        <v>103</v>
      </c>
      <c r="K58" s="162" t="str">
        <f t="shared" ca="1" si="9"/>
        <v>3.4.8.</v>
      </c>
      <c r="L58" s="209" t="s">
        <v>238</v>
      </c>
      <c r="M58" s="209" t="s">
        <v>364</v>
      </c>
      <c r="N58" s="230" t="s">
        <v>384</v>
      </c>
      <c r="O58" s="229" t="s">
        <v>245</v>
      </c>
      <c r="P58" s="232">
        <v>1</v>
      </c>
      <c r="Q58" s="228">
        <v>259.14</v>
      </c>
      <c r="R58" s="231" t="s">
        <v>7</v>
      </c>
      <c r="S58" s="121">
        <f t="shared" ca="1" si="10"/>
        <v>316.75</v>
      </c>
      <c r="T58" s="98">
        <f t="shared" ca="1" si="11"/>
        <v>316.75</v>
      </c>
      <c r="U58" s="13" t="str">
        <f t="shared" ca="1" si="12"/>
        <v>ACIMA REF.</v>
      </c>
      <c r="V58" s="4" t="str">
        <f ca="1">IF(OR($A58=0,$A58="S",$A58&gt;CFF!$A$9),"",MAX(V$12:OFFSET(V58,-1,0))+1)</f>
        <v/>
      </c>
      <c r="W58" s="9" t="str">
        <f t="shared" si="13"/>
        <v>SINAPI-100866</v>
      </c>
      <c r="X58" s="4" t="e">
        <f t="shared" ca="1" si="14"/>
        <v>#REF!</v>
      </c>
      <c r="Y58" s="121">
        <f t="shared" ca="1" si="15"/>
        <v>0</v>
      </c>
      <c r="Z58" s="132">
        <f ca="1">ROUND(IF(ISNUMBER(R58),R58,IF(LEFT(R58,3)="BDI",HLOOKUP(R58,DADOS!$T$37:$X$38,2,FALSE),0)),15-11*$X$5)</f>
        <v>0.2223</v>
      </c>
      <c r="AA58" s="4"/>
    </row>
    <row r="59" spans="1:27" x14ac:dyDescent="0.2">
      <c r="A59" t="str">
        <f>CHOOSE(1+LOG(1+2*(J59="Meta")+4*(J59="Nível 2")+8*(J59="Nível 3")+16*(J59="Nível 4")+32*(J59="Serviço"),2),0,1,2,3,4,"S")</f>
        <v>S</v>
      </c>
      <c r="B59">
        <f>IF(OR(A59="S",A59=0),0,IF(ISERROR(I59),H59,SMALL(H59:I59,1)))</f>
        <v>0</v>
      </c>
      <c r="C59">
        <f ca="1">IF($A59=1,OFFSET(C59,-1,0)+1,OFFSET(C59,-1,0))</f>
        <v>3</v>
      </c>
      <c r="D59">
        <f ca="1">IF($A59=1,0,IF($A59=2,OFFSET(D59,-1,0)+1,OFFSET(D59,-1,0)))</f>
        <v>4</v>
      </c>
      <c r="E59">
        <f ca="1">IF(AND($A59&lt;=2,$A59&lt;&gt;0),0,IF($A59=3,OFFSET(E59,-1,0)+1,OFFSET(E59,-1,0)))</f>
        <v>0</v>
      </c>
      <c r="F59">
        <f ca="1">IF(AND($A59&lt;=3,$A59&lt;&gt;0),0,IF($A59=4,OFFSET(F59,-1,0)+1,OFFSET(F59,-1,0)))</f>
        <v>0</v>
      </c>
      <c r="G59">
        <f ca="1">IF(AND($A59&lt;=4,$A59&lt;&gt;0),0,IF($A59="S",OFFSET(G59,-1,0)+1,OFFSET(G59,-1,0)))</f>
        <v>9</v>
      </c>
      <c r="H59">
        <f t="shared" ca="1" si="39"/>
        <v>0</v>
      </c>
      <c r="I59">
        <f t="shared" ca="1" si="40"/>
        <v>0</v>
      </c>
      <c r="J59" s="120" t="s">
        <v>103</v>
      </c>
      <c r="K59" s="162" t="str">
        <f ca="1">IF($A59=0,"-",CONCATENATE(C59&amp;".",IF(AND($A$5&gt;=2,$A59&gt;=2),D59&amp;".",""),IF(AND($A$5&gt;=3,$A59&gt;=3),E59&amp;".",""),IF(AND($A$5&gt;=4,$A59&gt;=4),F59&amp;".",""),IF($A59="S",G59&amp;".","")))</f>
        <v>3.4.9.</v>
      </c>
      <c r="L59" s="209" t="s">
        <v>240</v>
      </c>
      <c r="M59" s="209" t="s">
        <v>397</v>
      </c>
      <c r="N59" s="230" t="s">
        <v>405</v>
      </c>
      <c r="O59" s="229" t="s">
        <v>261</v>
      </c>
      <c r="P59" s="232">
        <v>7</v>
      </c>
      <c r="Q59" s="228">
        <v>25.9</v>
      </c>
      <c r="R59" s="231" t="s">
        <v>7</v>
      </c>
      <c r="S59" s="121">
        <f ca="1">IF($A59="S",IF($Q$10="Preço Unitário (R$)",PO.CustoUnitario,ROUND(PO.CustoUnitario*(1+$Z59),15-13*$X$6)),0)</f>
        <v>31.66</v>
      </c>
      <c r="T59" s="98">
        <f ca="1">IF($A59="S",VTOTAL1,IF($A59=0,0,ROUND(SomaAgrup,15-13*$X$7)))</f>
        <v>221.62</v>
      </c>
      <c r="U59" s="13" t="str">
        <f ca="1">IF($J59="","",IF($N59="","DESCRIÇÃO",IF(AND($J59="Serviço",$O59=""),"UNIDADE",IF($T59&lt;=0,"SEM VALOR",IF(AND($Y59&lt;&gt;"",$Q59&gt;$Y59),"ACIMA REF.","")))))</f>
        <v>ACIMA REF.</v>
      </c>
      <c r="V59" s="4" t="str">
        <f ca="1">IF(OR($A59=0,$A59="S",$A59&gt;CFF!$A$9),"",MAX(V$12:OFFSET(V59,-1,0))+1)</f>
        <v/>
      </c>
      <c r="W59" s="9" t="str">
        <f>IF(AND($J59="Serviço",$M59&lt;&gt;""),IF($L59="",$M59,CONCATENATE($L59,"-",$M59)))</f>
        <v>SINAPI-I-377</v>
      </c>
      <c r="X59" s="4" t="e">
        <f ca="1">IF(AND(Fonte&lt;&gt;"",Código&lt;&gt;""),MATCH(Fonte&amp;" "&amp;IF(Fonte="sinapi",SUBSTITUTE(SUBSTITUTE(Código,"/00","/"),"/0","/"),Código),INDIRECT("'[Referência "&amp;_xlnm.Database&amp;".xls]Banco'!$a:$a"),0),"X")</f>
        <v>#REF!</v>
      </c>
      <c r="Y59" s="121">
        <f ca="1">IF(Import.Desoneracao="sim",Referencia.Desonerado,Referencia.NaoDesonerado)</f>
        <v>0</v>
      </c>
      <c r="Z59" s="132">
        <f ca="1">ROUND(IF(ISNUMBER(R59),R59,IF(LEFT(R59,3)="BDI",HLOOKUP(R59,DADOS!$T$37:$X$38,2,FALSE),0)),15-11*$X$5)</f>
        <v>0.2223</v>
      </c>
      <c r="AA59" s="4"/>
    </row>
    <row r="60" spans="1:27" ht="25.5" x14ac:dyDescent="0.2">
      <c r="A60" t="str">
        <f>CHOOSE(1+LOG(1+2*(J60="Meta")+4*(J60="Nível 2")+8*(J60="Nível 3")+16*(J60="Nível 4")+32*(J60="Serviço"),2),0,1,2,3,4,"S")</f>
        <v>S</v>
      </c>
      <c r="B60">
        <f>IF(OR(A60="S",A60=0),0,IF(ISERROR(I60),H60,SMALL(H60:I60,1)))</f>
        <v>0</v>
      </c>
      <c r="C60">
        <f ca="1">IF($A60=1,OFFSET(C60,-1,0)+1,OFFSET(C60,-1,0))</f>
        <v>3</v>
      </c>
      <c r="D60">
        <f ca="1">IF($A60=1,0,IF($A60=2,OFFSET(D60,-1,0)+1,OFFSET(D60,-1,0)))</f>
        <v>4</v>
      </c>
      <c r="E60">
        <f ca="1">IF(AND($A60&lt;=2,$A60&lt;&gt;0),0,IF($A60=3,OFFSET(E60,-1,0)+1,OFFSET(E60,-1,0)))</f>
        <v>0</v>
      </c>
      <c r="F60">
        <f ca="1">IF(AND($A60&lt;=3,$A60&lt;&gt;0),0,IF($A60=4,OFFSET(F60,-1,0)+1,OFFSET(F60,-1,0)))</f>
        <v>0</v>
      </c>
      <c r="G60">
        <f ca="1">IF(AND($A60&lt;=4,$A60&lt;&gt;0),0,IF($A60="S",OFFSET(G60,-1,0)+1,OFFSET(G60,-1,0)))</f>
        <v>10</v>
      </c>
      <c r="H60">
        <f t="shared" ca="1" si="39"/>
        <v>0</v>
      </c>
      <c r="I60">
        <f t="shared" ca="1" si="40"/>
        <v>0</v>
      </c>
      <c r="J60" s="120" t="s">
        <v>103</v>
      </c>
      <c r="K60" s="162" t="str">
        <f ca="1">IF($A60=0,"-",CONCATENATE(C60&amp;".",IF(AND($A$5&gt;=2,$A60&gt;=2),D60&amp;".",""),IF(AND($A$5&gt;=3,$A60&gt;=3),E60&amp;".",""),IF(AND($A$5&gt;=4,$A60&gt;=4),F60&amp;".",""),IF($A60="S",G60&amp;".","")))</f>
        <v>3.4.10.</v>
      </c>
      <c r="L60" s="209" t="s">
        <v>238</v>
      </c>
      <c r="M60" s="209" t="s">
        <v>413</v>
      </c>
      <c r="N60" s="230" t="s">
        <v>418</v>
      </c>
      <c r="O60" s="229" t="s">
        <v>245</v>
      </c>
      <c r="P60" s="232">
        <v>6</v>
      </c>
      <c r="Q60" s="228">
        <v>44.33</v>
      </c>
      <c r="R60" s="231" t="s">
        <v>7</v>
      </c>
      <c r="S60" s="121">
        <f ca="1">IF($A60="S",IF($Q$10="Preço Unitário (R$)",PO.CustoUnitario,ROUND(PO.CustoUnitario*(1+$Z60),15-13*$X$6)),0)</f>
        <v>54.18</v>
      </c>
      <c r="T60" s="98">
        <f ca="1">IF($A60="S",VTOTAL1,IF($A60=0,0,ROUND(SomaAgrup,15-13*$X$7)))</f>
        <v>325.08</v>
      </c>
      <c r="U60" s="13" t="str">
        <f ca="1">IF($J60="","",IF($N60="","DESCRIÇÃO",IF(AND($J60="Serviço",$O60=""),"UNIDADE",IF($T60&lt;=0,"SEM VALOR",IF(AND($Y60&lt;&gt;"",$Q60&gt;$Y60),"ACIMA REF.","")))))</f>
        <v>ACIMA REF.</v>
      </c>
      <c r="V60" s="4" t="str">
        <f ca="1">IF(OR($A60=0,$A60="S",$A60&gt;CFF!$A$9),"",MAX(V$12:OFFSET(V60,-1,0))+1)</f>
        <v/>
      </c>
      <c r="W60" s="9" t="str">
        <f>IF(AND($J60="Serviço",$M60&lt;&gt;""),IF($L60="",$M60,CONCATENATE($L60,"-",$M60)))</f>
        <v>SINAPI-95547</v>
      </c>
      <c r="X60" s="4" t="e">
        <f ca="1">IF(AND(Fonte&lt;&gt;"",Código&lt;&gt;""),MATCH(Fonte&amp;" "&amp;IF(Fonte="sinapi",SUBSTITUTE(SUBSTITUTE(Código,"/00","/"),"/0","/"),Código),INDIRECT("'[Referência "&amp;_xlnm.Database&amp;".xls]Banco'!$a:$a"),0),"X")</f>
        <v>#REF!</v>
      </c>
      <c r="Y60" s="121">
        <f ca="1">IF(Import.Desoneracao="sim",Referencia.Desonerado,Referencia.NaoDesonerado)</f>
        <v>0</v>
      </c>
      <c r="Z60" s="132">
        <f ca="1">ROUND(IF(ISNUMBER(R60),R60,IF(LEFT(R60,3)="BDI",HLOOKUP(R60,DADOS!$T$37:$X$38,2,FALSE),0)),15-11*$X$5)</f>
        <v>0.2223</v>
      </c>
      <c r="AA60" s="4"/>
    </row>
    <row r="61" spans="1:27" x14ac:dyDescent="0.2">
      <c r="A61" t="str">
        <f>CHOOSE(1+LOG(1+2*(J61="Meta")+4*(J61="Nível 2")+8*(J61="Nível 3")+16*(J61="Nível 4")+32*(J61="Serviço"),2),0,1,2,3,4,"S")</f>
        <v>S</v>
      </c>
      <c r="B61">
        <f>IF(OR(A61="S",A61=0),0,IF(ISERROR(I61),H61,SMALL(H61:I61,1)))</f>
        <v>0</v>
      </c>
      <c r="C61">
        <f ca="1">IF($A61=1,OFFSET(C61,-1,0)+1,OFFSET(C61,-1,0))</f>
        <v>3</v>
      </c>
      <c r="D61">
        <f ca="1">IF($A61=1,0,IF($A61=2,OFFSET(D61,-1,0)+1,OFFSET(D61,-1,0)))</f>
        <v>4</v>
      </c>
      <c r="E61">
        <f ca="1">IF(AND($A61&lt;=2,$A61&lt;&gt;0),0,IF($A61=3,OFFSET(E61,-1,0)+1,OFFSET(E61,-1,0)))</f>
        <v>0</v>
      </c>
      <c r="F61">
        <f ca="1">IF(AND($A61&lt;=3,$A61&lt;&gt;0),0,IF($A61=4,OFFSET(F61,-1,0)+1,OFFSET(F61,-1,0)))</f>
        <v>0</v>
      </c>
      <c r="G61">
        <f ca="1">IF(AND($A61&lt;=4,$A61&lt;&gt;0),0,IF($A61="S",OFFSET(G61,-1,0)+1,OFFSET(G61,-1,0)))</f>
        <v>11</v>
      </c>
      <c r="H61">
        <f t="shared" ca="1" si="39"/>
        <v>0</v>
      </c>
      <c r="I61">
        <f t="shared" ca="1" si="40"/>
        <v>0</v>
      </c>
      <c r="J61" s="120" t="s">
        <v>103</v>
      </c>
      <c r="K61" s="162" t="str">
        <f ca="1">IF($A61=0,"-",CONCATENATE(C61&amp;".",IF(AND($A$5&gt;=2,$A61&gt;=2),D61&amp;".",""),IF(AND($A$5&gt;=3,$A61&gt;=3),E61&amp;".",""),IF(AND($A$5&gt;=4,$A61&gt;=4),F61&amp;".",""),IF($A61="S",G61&amp;".","")))</f>
        <v>3.4.11.</v>
      </c>
      <c r="L61" s="209" t="s">
        <v>240</v>
      </c>
      <c r="M61" s="209" t="s">
        <v>416</v>
      </c>
      <c r="N61" s="230" t="s">
        <v>419</v>
      </c>
      <c r="O61" s="229" t="s">
        <v>261</v>
      </c>
      <c r="P61" s="232">
        <v>6</v>
      </c>
      <c r="Q61" s="228">
        <v>37.950000000000003</v>
      </c>
      <c r="R61" s="231" t="s">
        <v>7</v>
      </c>
      <c r="S61" s="121">
        <f ca="1">IF($A61="S",IF($Q$10="Preço Unitário (R$)",PO.CustoUnitario,ROUND(PO.CustoUnitario*(1+$Z61),15-13*$X$6)),0)</f>
        <v>46.39</v>
      </c>
      <c r="T61" s="98">
        <f ca="1">IF($A61="S",VTOTAL1,IF($A61=0,0,ROUND(SomaAgrup,15-13*$X$7)))</f>
        <v>278.33999999999997</v>
      </c>
      <c r="U61" s="13" t="str">
        <f ca="1">IF($J61="","",IF($N61="","DESCRIÇÃO",IF(AND($J61="Serviço",$O61=""),"UNIDADE",IF($T61&lt;=0,"SEM VALOR",IF(AND($Y61&lt;&gt;"",$Q61&gt;$Y61),"ACIMA REF.","")))))</f>
        <v>ACIMA REF.</v>
      </c>
      <c r="V61" s="4" t="str">
        <f ca="1">IF(OR($A61=0,$A61="S",$A61&gt;CFF!$A$9),"",MAX(V$12:OFFSET(V61,-1,0))+1)</f>
        <v/>
      </c>
      <c r="W61" s="9" t="str">
        <f>IF(AND($J61="Serviço",$M61&lt;&gt;""),IF($L61="",$M61,CONCATENATE($L61,"-",$M61)))</f>
        <v>SINAPI-I-37401</v>
      </c>
      <c r="X61" s="4" t="e">
        <f ca="1">IF(AND(Fonte&lt;&gt;"",Código&lt;&gt;""),MATCH(Fonte&amp;" "&amp;IF(Fonte="sinapi",SUBSTITUTE(SUBSTITUTE(Código,"/00","/"),"/0","/"),Código),INDIRECT("'[Referência "&amp;_xlnm.Database&amp;".xls]Banco'!$a:$a"),0),"X")</f>
        <v>#REF!</v>
      </c>
      <c r="Y61" s="121">
        <f ca="1">IF(Import.Desoneracao="sim",Referencia.Desonerado,Referencia.NaoDesonerado)</f>
        <v>0</v>
      </c>
      <c r="Z61" s="132">
        <f ca="1">ROUND(IF(ISNUMBER(R61),R61,IF(LEFT(R61,3)="BDI",HLOOKUP(R61,DADOS!$T$37:$X$38,2,FALSE),0)),15-11*$X$5)</f>
        <v>0.2223</v>
      </c>
      <c r="AA61" s="4"/>
    </row>
    <row r="62" spans="1:27" x14ac:dyDescent="0.2">
      <c r="A62" t="str">
        <f t="shared" ref="A62:A63" si="41">CHOOSE(1+LOG(1+2*(J62="Meta")+4*(J62="Nível 2")+8*(J62="Nível 3")+16*(J62="Nível 4")+32*(J62="Serviço"),2),0,1,2,3,4,"S")</f>
        <v>S</v>
      </c>
      <c r="B62">
        <f t="shared" ref="B62:B63" si="42">IF(OR(A62="S",A62=0),0,IF(ISERROR(I62),H62,SMALL(H62:I62,1)))</f>
        <v>0</v>
      </c>
      <c r="C62">
        <f t="shared" ref="C62:C63" ca="1" si="43">IF($A62=1,OFFSET(C62,-1,0)+1,OFFSET(C62,-1,0))</f>
        <v>3</v>
      </c>
      <c r="D62">
        <f t="shared" ref="D62:D63" ca="1" si="44">IF($A62=1,0,IF($A62=2,OFFSET(D62,-1,0)+1,OFFSET(D62,-1,0)))</f>
        <v>4</v>
      </c>
      <c r="E62">
        <f t="shared" ref="E62:E63" ca="1" si="45">IF(AND($A62&lt;=2,$A62&lt;&gt;0),0,IF($A62=3,OFFSET(E62,-1,0)+1,OFFSET(E62,-1,0)))</f>
        <v>0</v>
      </c>
      <c r="F62">
        <f t="shared" ref="F62:F63" ca="1" si="46">IF(AND($A62&lt;=3,$A62&lt;&gt;0),0,IF($A62=4,OFFSET(F62,-1,0)+1,OFFSET(F62,-1,0)))</f>
        <v>0</v>
      </c>
      <c r="G62">
        <f t="shared" ref="G62:G63" ca="1" si="47">IF(AND($A62&lt;=4,$A62&lt;&gt;0),0,IF($A62="S",OFFSET(G62,-1,0)+1,OFFSET(G62,-1,0)))</f>
        <v>12</v>
      </c>
      <c r="H62">
        <f t="shared" ca="1" si="39"/>
        <v>0</v>
      </c>
      <c r="I62">
        <f t="shared" ca="1" si="40"/>
        <v>0</v>
      </c>
      <c r="J62" s="120" t="s">
        <v>103</v>
      </c>
      <c r="K62" s="162" t="str">
        <f t="shared" ref="K62:K63" ca="1" si="48">IF($A62=0,"-",CONCATENATE(C62&amp;".",IF(AND($A$5&gt;=2,$A62&gt;=2),D62&amp;".",""),IF(AND($A$5&gt;=3,$A62&gt;=3),E62&amp;".",""),IF(AND($A$5&gt;=4,$A62&gt;=4),F62&amp;".",""),IF($A62="S",G62&amp;".","")))</f>
        <v>3.4.12.</v>
      </c>
      <c r="L62" s="209" t="s">
        <v>238</v>
      </c>
      <c r="M62" s="209" t="s">
        <v>414</v>
      </c>
      <c r="N62" s="230" t="s">
        <v>420</v>
      </c>
      <c r="O62" s="229" t="s">
        <v>245</v>
      </c>
      <c r="P62" s="232">
        <v>7</v>
      </c>
      <c r="Q62" s="228">
        <v>57.49</v>
      </c>
      <c r="R62" s="231" t="s">
        <v>7</v>
      </c>
      <c r="S62" s="121">
        <f ca="1">IF($A62="S",IF($Q$10="Preço Unitário (R$)",PO.CustoUnitario,ROUND(PO.CustoUnitario*(1+$Z62),15-13*$X$6)),0)</f>
        <v>70.27</v>
      </c>
      <c r="T62" s="98">
        <f ca="1">IF($A62="S",VTOTAL1,IF($A62=0,0,ROUND(SomaAgrup,15-13*$X$7)))</f>
        <v>491.89</v>
      </c>
      <c r="U62" s="13" t="str">
        <f t="shared" ref="U62:U63" ca="1" si="49">IF($J62="","",IF($N62="","DESCRIÇÃO",IF(AND($J62="Serviço",$O62=""),"UNIDADE",IF($T62&lt;=0,"SEM VALOR",IF(AND($Y62&lt;&gt;"",$Q62&gt;$Y62),"ACIMA REF.","")))))</f>
        <v>ACIMA REF.</v>
      </c>
      <c r="V62" s="4" t="str">
        <f ca="1">IF(OR($A62=0,$A62="S",$A62&gt;CFF!$A$9),"",MAX(V$12:OFFSET(V62,-1,0))+1)</f>
        <v/>
      </c>
      <c r="W62" s="9" t="str">
        <f t="shared" ref="W62:W63" si="50">IF(AND($J62="Serviço",$M62&lt;&gt;""),IF($L62="",$M62,CONCATENATE($L62,"-",$M62)))</f>
        <v>SINAPI-95545</v>
      </c>
      <c r="X62" s="4" t="e">
        <f ca="1">IF(AND(Fonte&lt;&gt;"",Código&lt;&gt;""),MATCH(Fonte&amp;" "&amp;IF(Fonte="sinapi",SUBSTITUTE(SUBSTITUTE(Código,"/00","/"),"/0","/"),Código),INDIRECT("'[Referência "&amp;_xlnm.Database&amp;".xls]Banco'!$a:$a"),0),"X")</f>
        <v>#REF!</v>
      </c>
      <c r="Y62" s="121">
        <f ca="1">IF(Import.Desoneracao="sim",Referencia.Desonerado,Referencia.NaoDesonerado)</f>
        <v>0</v>
      </c>
      <c r="Z62" s="132">
        <f ca="1">ROUND(IF(ISNUMBER(R62),R62,IF(LEFT(R62,3)="BDI",HLOOKUP(R62,DADOS!$T$37:$X$38,2,FALSE),0)),15-11*$X$5)</f>
        <v>0.2223</v>
      </c>
      <c r="AA62" s="4"/>
    </row>
    <row r="63" spans="1:27" ht="25.5" x14ac:dyDescent="0.2">
      <c r="A63" t="str">
        <f t="shared" si="41"/>
        <v>S</v>
      </c>
      <c r="B63">
        <f t="shared" si="42"/>
        <v>0</v>
      </c>
      <c r="C63">
        <f t="shared" ca="1" si="43"/>
        <v>3</v>
      </c>
      <c r="D63">
        <f t="shared" ca="1" si="44"/>
        <v>4</v>
      </c>
      <c r="E63">
        <f t="shared" ca="1" si="45"/>
        <v>0</v>
      </c>
      <c r="F63">
        <f t="shared" ca="1" si="46"/>
        <v>0</v>
      </c>
      <c r="G63">
        <f t="shared" ca="1" si="47"/>
        <v>13</v>
      </c>
      <c r="H63">
        <f t="shared" ca="1" si="39"/>
        <v>0</v>
      </c>
      <c r="I63">
        <f t="shared" ca="1" si="40"/>
        <v>0</v>
      </c>
      <c r="J63" s="120" t="s">
        <v>103</v>
      </c>
      <c r="K63" s="162" t="str">
        <f t="shared" ca="1" si="48"/>
        <v>3.4.13.</v>
      </c>
      <c r="L63" s="209" t="s">
        <v>238</v>
      </c>
      <c r="M63" s="209" t="s">
        <v>415</v>
      </c>
      <c r="N63" s="230" t="s">
        <v>421</v>
      </c>
      <c r="O63" s="229" t="s">
        <v>245</v>
      </c>
      <c r="P63" s="232">
        <v>7</v>
      </c>
      <c r="Q63" s="228">
        <v>76.3</v>
      </c>
      <c r="R63" s="231" t="s">
        <v>7</v>
      </c>
      <c r="S63" s="121">
        <f ca="1">IF($A63="S",IF($Q$10="Preço Unitário (R$)",PO.CustoUnitario,ROUND(PO.CustoUnitario*(1+$Z63),15-13*$X$6)),0)</f>
        <v>93.26</v>
      </c>
      <c r="T63" s="98">
        <f ca="1">IF($A63="S",VTOTAL1,IF($A63=0,0,ROUND(SomaAgrup,15-13*$X$7)))</f>
        <v>652.82000000000005</v>
      </c>
      <c r="U63" s="13" t="str">
        <f t="shared" ca="1" si="49"/>
        <v>ACIMA REF.</v>
      </c>
      <c r="V63" s="4" t="str">
        <f ca="1">IF(OR($A63=0,$A63="S",$A63&gt;CFF!$A$9),"",MAX(V$12:OFFSET(V63,-1,0))+1)</f>
        <v/>
      </c>
      <c r="W63" s="9" t="str">
        <f t="shared" si="50"/>
        <v>SINAPI-95543</v>
      </c>
      <c r="X63" s="4" t="e">
        <f ca="1">IF(AND(Fonte&lt;&gt;"",Código&lt;&gt;""),MATCH(Fonte&amp;" "&amp;IF(Fonte="sinapi",SUBSTITUTE(SUBSTITUTE(Código,"/00","/"),"/0","/"),Código),INDIRECT("'[Referência "&amp;_xlnm.Database&amp;".xls]Banco'!$a:$a"),0),"X")</f>
        <v>#REF!</v>
      </c>
      <c r="Y63" s="121">
        <f ca="1">IF(Import.Desoneracao="sim",Referencia.Desonerado,Referencia.NaoDesonerado)</f>
        <v>0</v>
      </c>
      <c r="Z63" s="132">
        <f ca="1">ROUND(IF(ISNUMBER(R63),R63,IF(LEFT(R63,3)="BDI",HLOOKUP(R63,DADOS!$T$37:$X$38,2,FALSE),0)),15-11*$X$5)</f>
        <v>0.2223</v>
      </c>
      <c r="AA63" s="4"/>
    </row>
    <row r="64" spans="1:27" x14ac:dyDescent="0.2">
      <c r="A64">
        <f t="shared" si="0"/>
        <v>2</v>
      </c>
      <c r="B64">
        <f t="shared" ca="1" si="1"/>
        <v>16</v>
      </c>
      <c r="C64">
        <f t="shared" ca="1" si="2"/>
        <v>3</v>
      </c>
      <c r="D64">
        <f t="shared" ca="1" si="3"/>
        <v>5</v>
      </c>
      <c r="E64">
        <f t="shared" ca="1" si="4"/>
        <v>0</v>
      </c>
      <c r="F64">
        <f t="shared" ca="1" si="5"/>
        <v>0</v>
      </c>
      <c r="G64">
        <f t="shared" ca="1" si="6"/>
        <v>0</v>
      </c>
      <c r="H64">
        <f t="shared" ca="1" si="39"/>
        <v>16</v>
      </c>
      <c r="I64" t="e">
        <f t="shared" ca="1" si="40"/>
        <v>#N/A</v>
      </c>
      <c r="J64" s="120" t="s">
        <v>100</v>
      </c>
      <c r="K64" s="162" t="str">
        <f t="shared" ca="1" si="9"/>
        <v>3.5.</v>
      </c>
      <c r="L64" s="209" t="s">
        <v>238</v>
      </c>
      <c r="M64" s="209"/>
      <c r="N64" s="230" t="s">
        <v>289</v>
      </c>
      <c r="O64" s="229" t="str">
        <f ca="1">Referencia.Unidade</f>
        <v/>
      </c>
      <c r="P64" s="232"/>
      <c r="Q64" s="228"/>
      <c r="R64" s="231" t="s">
        <v>7</v>
      </c>
      <c r="S64" s="121">
        <f t="shared" si="10"/>
        <v>0</v>
      </c>
      <c r="T64" s="98">
        <f t="shared" ca="1" si="11"/>
        <v>47810.09</v>
      </c>
      <c r="U64" s="13" t="str">
        <f t="shared" ca="1" si="12"/>
        <v/>
      </c>
      <c r="V64" s="4">
        <f ca="1">IF(OR($A64=0,$A64="S",$A64&gt;CFF!$A$9),"",MAX(V$12:OFFSET(V64,-1,0))+1)</f>
        <v>8</v>
      </c>
      <c r="W64" s="9" t="b">
        <f t="shared" si="13"/>
        <v>0</v>
      </c>
      <c r="X64" s="4" t="str">
        <f t="shared" ca="1" si="14"/>
        <v>X</v>
      </c>
      <c r="Y64" s="121">
        <f t="shared" ca="1" si="15"/>
        <v>0</v>
      </c>
      <c r="Z64" s="132">
        <f ca="1">ROUND(IF(ISNUMBER(R64),R64,IF(LEFT(R64,3)="BDI",HLOOKUP(R64,DADOS!$T$37:$X$38,2,FALSE),0)),15-11*$X$5)</f>
        <v>0.2223</v>
      </c>
      <c r="AA64" s="4"/>
    </row>
    <row r="65" spans="1:27" x14ac:dyDescent="0.2">
      <c r="A65" t="str">
        <f>CHOOSE(1+LOG(1+2*(J65="Meta")+4*(J65="Nível 2")+8*(J65="Nível 3")+16*(J65="Nível 4")+32*(J65="Serviço"),2),0,1,2,3,4,"S")</f>
        <v>S</v>
      </c>
      <c r="B65">
        <f>IF(OR(A65="S",A65=0),0,IF(ISERROR(I65),H65,SMALL(H65:I65,1)))</f>
        <v>0</v>
      </c>
      <c r="C65">
        <f ca="1">IF($A65=1,OFFSET(C65,-1,0)+1,OFFSET(C65,-1,0))</f>
        <v>3</v>
      </c>
      <c r="D65">
        <f ca="1">IF($A65=1,0,IF($A65=2,OFFSET(D65,-1,0)+1,OFFSET(D65,-1,0)))</f>
        <v>5</v>
      </c>
      <c r="E65">
        <f ca="1">IF(AND($A65&lt;=2,$A65&lt;&gt;0),0,IF($A65=3,OFFSET(E65,-1,0)+1,OFFSET(E65,-1,0)))</f>
        <v>0</v>
      </c>
      <c r="F65">
        <f ca="1">IF(AND($A65&lt;=3,$A65&lt;&gt;0),0,IF($A65=4,OFFSET(F65,-1,0)+1,OFFSET(F65,-1,0)))</f>
        <v>0</v>
      </c>
      <c r="G65">
        <f ca="1">IF(AND($A65&lt;=4,$A65&lt;&gt;0),0,IF($A65="S",OFFSET(G65,-1,0)+1,OFFSET(G65,-1,0)))</f>
        <v>1</v>
      </c>
      <c r="H65">
        <f t="shared" ca="1" si="39"/>
        <v>0</v>
      </c>
      <c r="I65">
        <f t="shared" ca="1" si="40"/>
        <v>0</v>
      </c>
      <c r="J65" s="120" t="s">
        <v>103</v>
      </c>
      <c r="K65" s="162" t="str">
        <f ca="1">IF($A65=0,"-",CONCATENATE(C65&amp;".",IF(AND($A$5&gt;=2,$A65&gt;=2),D65&amp;".",""),IF(AND($A$5&gt;=3,$A65&gt;=3),E65&amp;".",""),IF(AND($A$5&gt;=4,$A65&gt;=4),F65&amp;".",""),IF($A65="S",G65&amp;".","")))</f>
        <v>3.5.1.</v>
      </c>
      <c r="L65" s="209" t="s">
        <v>353</v>
      </c>
      <c r="M65" s="209" t="s">
        <v>367</v>
      </c>
      <c r="N65" s="230" t="s">
        <v>385</v>
      </c>
      <c r="O65" s="229" t="s">
        <v>245</v>
      </c>
      <c r="P65" s="232">
        <v>4</v>
      </c>
      <c r="Q65" s="228">
        <v>411.99</v>
      </c>
      <c r="R65" s="231" t="s">
        <v>7</v>
      </c>
      <c r="S65" s="121">
        <f ca="1">IF($A65="S",IF($Q$10="Preço Unitário (R$)",PO.CustoUnitario,ROUND(PO.CustoUnitario*(1+$Z65),15-13*$X$6)),0)</f>
        <v>503.58</v>
      </c>
      <c r="T65" s="98">
        <f ca="1">IF($A65="S",VTOTAL1,IF($A65=0,0,ROUND(SomaAgrup,15-13*$X$7)))</f>
        <v>2014.32</v>
      </c>
      <c r="U65" s="13" t="str">
        <f ca="1">IF($J65="","",IF($N65="","DESCRIÇÃO",IF(AND($J65="Serviço",$O65=""),"UNIDADE",IF($T65&lt;=0,"SEM VALOR",IF(AND($Y65&lt;&gt;"",$Q65&gt;$Y65),"ACIMA REF.","")))))</f>
        <v>ACIMA REF.</v>
      </c>
      <c r="V65" s="4" t="str">
        <f ca="1">IF(OR($A65=0,$A65="S",$A65&gt;CFF!$A$9),"",MAX(V$12:OFFSET(V65,-1,0))+1)</f>
        <v/>
      </c>
      <c r="W65" s="9" t="str">
        <f>IF(AND($J65="Serviço",$M65&lt;&gt;""),IF($L65="",$M65,CONCATENATE($L65,"-",$M65)))</f>
        <v>PRÓPRIA-0003</v>
      </c>
      <c r="X65" s="4" t="e">
        <f ca="1">IF(AND(Fonte&lt;&gt;"",Código&lt;&gt;""),MATCH(Fonte&amp;" "&amp;IF(Fonte="sinapi",SUBSTITUTE(SUBSTITUTE(Código,"/00","/"),"/0","/"),Código),INDIRECT("'[Referência "&amp;_xlnm.Database&amp;".xls]Banco'!$a:$a"),0),"X")</f>
        <v>#REF!</v>
      </c>
      <c r="Y65" s="121">
        <f ca="1">IF(Import.Desoneracao="sim",Referencia.Desonerado,Referencia.NaoDesonerado)</f>
        <v>0</v>
      </c>
      <c r="Z65" s="132">
        <f ca="1">ROUND(IF(ISNUMBER(R65),R65,IF(LEFT(R65,3)="BDI",HLOOKUP(R65,DADOS!$T$37:$X$38,2,FALSE),0)),15-11*$X$5)</f>
        <v>0.2223</v>
      </c>
      <c r="AA65" s="4"/>
    </row>
    <row r="66" spans="1:27" x14ac:dyDescent="0.2">
      <c r="A66" t="str">
        <f>CHOOSE(1+LOG(1+2*(J66="Meta")+4*(J66="Nível 2")+8*(J66="Nível 3")+16*(J66="Nível 4")+32*(J66="Serviço"),2),0,1,2,3,4,"S")</f>
        <v>S</v>
      </c>
      <c r="B66">
        <f>IF(OR(A66="S",A66=0),0,IF(ISERROR(I66),H66,SMALL(H66:I66,1)))</f>
        <v>0</v>
      </c>
      <c r="C66">
        <f ca="1">IF($A66=1,OFFSET(C66,-1,0)+1,OFFSET(C66,-1,0))</f>
        <v>3</v>
      </c>
      <c r="D66">
        <f ca="1">IF($A66=1,0,IF($A66=2,OFFSET(D66,-1,0)+1,OFFSET(D66,-1,0)))</f>
        <v>5</v>
      </c>
      <c r="E66">
        <f ca="1">IF(AND($A66&lt;=2,$A66&lt;&gt;0),0,IF($A66=3,OFFSET(E66,-1,0)+1,OFFSET(E66,-1,0)))</f>
        <v>0</v>
      </c>
      <c r="F66">
        <f ca="1">IF(AND($A66&lt;=3,$A66&lt;&gt;0),0,IF($A66=4,OFFSET(F66,-1,0)+1,OFFSET(F66,-1,0)))</f>
        <v>0</v>
      </c>
      <c r="G66">
        <f ca="1">IF(AND($A66&lt;=4,$A66&lt;&gt;0),0,IF($A66="S",OFFSET(G66,-1,0)+1,OFFSET(G66,-1,0)))</f>
        <v>2</v>
      </c>
      <c r="H66">
        <f t="shared" ca="1" si="39"/>
        <v>0</v>
      </c>
      <c r="I66">
        <f t="shared" ca="1" si="40"/>
        <v>0</v>
      </c>
      <c r="J66" s="120" t="s">
        <v>103</v>
      </c>
      <c r="K66" s="162" t="str">
        <f ca="1">IF($A66=0,"-",CONCATENATE(C66&amp;".",IF(AND($A$5&gt;=2,$A66&gt;=2),D66&amp;".",""),IF(AND($A$5&gt;=3,$A66&gt;=3),E66&amp;".",""),IF(AND($A$5&gt;=4,$A66&gt;=4),F66&amp;".",""),IF($A66="S",G66&amp;".","")))</f>
        <v>3.5.2.</v>
      </c>
      <c r="L66" s="209" t="s">
        <v>238</v>
      </c>
      <c r="M66" s="209" t="s">
        <v>375</v>
      </c>
      <c r="N66" s="230" t="s">
        <v>386</v>
      </c>
      <c r="O66" s="229" t="s">
        <v>245</v>
      </c>
      <c r="P66" s="232">
        <v>2</v>
      </c>
      <c r="Q66" s="228">
        <v>4213.74</v>
      </c>
      <c r="R66" s="231" t="s">
        <v>7</v>
      </c>
      <c r="S66" s="121">
        <f ca="1">IF($A66="S",IF($Q$10="Preço Unitário (R$)",PO.CustoUnitario,ROUND(PO.CustoUnitario*(1+$Z66),15-13*$X$6)),0)</f>
        <v>5150.45</v>
      </c>
      <c r="T66" s="98">
        <f ca="1">IF($A66="S",VTOTAL1,IF($A66=0,0,ROUND(SomaAgrup,15-13*$X$7)))</f>
        <v>10300.9</v>
      </c>
      <c r="U66" s="13" t="str">
        <f ca="1">IF($J66="","",IF($N66="","DESCRIÇÃO",IF(AND($J66="Serviço",$O66=""),"UNIDADE",IF($T66&lt;=0,"SEM VALOR",IF(AND($Y66&lt;&gt;"",$Q66&gt;$Y66),"ACIMA REF.","")))))</f>
        <v>ACIMA REF.</v>
      </c>
      <c r="V66" s="4" t="str">
        <f ca="1">IF(OR($A66=0,$A66="S",$A66&gt;CFF!$A$9),"",MAX(V$12:OFFSET(V66,-1,0))+1)</f>
        <v/>
      </c>
      <c r="W66" s="9" t="str">
        <f>IF(AND($J66="Serviço",$M66&lt;&gt;""),IF($L66="",$M66,CONCATENATE($L66,"-",$M66)))</f>
        <v>SINAPI-83650</v>
      </c>
      <c r="X66" s="4" t="e">
        <f ca="1">IF(AND(Fonte&lt;&gt;"",Código&lt;&gt;""),MATCH(Fonte&amp;" "&amp;IF(Fonte="sinapi",SUBSTITUTE(SUBSTITUTE(Código,"/00","/"),"/0","/"),Código),INDIRECT("'[Referência "&amp;_xlnm.Database&amp;".xls]Banco'!$a:$a"),0),"X")</f>
        <v>#REF!</v>
      </c>
      <c r="Y66" s="121">
        <f ca="1">IF(Import.Desoneracao="sim",Referencia.Desonerado,Referencia.NaoDesonerado)</f>
        <v>0</v>
      </c>
      <c r="Z66" s="132">
        <f ca="1">ROUND(IF(ISNUMBER(R66),R66,IF(LEFT(R66,3)="BDI",HLOOKUP(R66,DADOS!$T$37:$X$38,2,FALSE),0)),15-11*$X$5)</f>
        <v>0.2223</v>
      </c>
      <c r="AA66" s="4"/>
    </row>
    <row r="67" spans="1:27" ht="51" x14ac:dyDescent="0.2">
      <c r="A67" t="str">
        <f>CHOOSE(1+LOG(1+2*(J67="Meta")+4*(J67="Nível 2")+8*(J67="Nível 3")+16*(J67="Nível 4")+32*(J67="Serviço"),2),0,1,2,3,4,"S")</f>
        <v>S</v>
      </c>
      <c r="B67">
        <f>IF(OR(A67="S",A67=0),0,IF(ISERROR(I67),H67,SMALL(H67:I67,1)))</f>
        <v>0</v>
      </c>
      <c r="C67">
        <f ca="1">IF($A67=1,OFFSET(C67,-1,0)+1,OFFSET(C67,-1,0))</f>
        <v>3</v>
      </c>
      <c r="D67">
        <f ca="1">IF($A67=1,0,IF($A67=2,OFFSET(D67,-1,0)+1,OFFSET(D67,-1,0)))</f>
        <v>5</v>
      </c>
      <c r="E67">
        <f ca="1">IF(AND($A67&lt;=2,$A67&lt;&gt;0),0,IF($A67=3,OFFSET(E67,-1,0)+1,OFFSET(E67,-1,0)))</f>
        <v>0</v>
      </c>
      <c r="F67">
        <f ca="1">IF(AND($A67&lt;=3,$A67&lt;&gt;0),0,IF($A67=4,OFFSET(F67,-1,0)+1,OFFSET(F67,-1,0)))</f>
        <v>0</v>
      </c>
      <c r="G67">
        <f ca="1">IF(AND($A67&lt;=4,$A67&lt;&gt;0),0,IF($A67="S",OFFSET(G67,-1,0)+1,OFFSET(G67,-1,0)))</f>
        <v>3</v>
      </c>
      <c r="H67">
        <f t="shared" ca="1" si="39"/>
        <v>0</v>
      </c>
      <c r="I67">
        <f t="shared" ca="1" si="40"/>
        <v>0</v>
      </c>
      <c r="J67" s="120" t="s">
        <v>103</v>
      </c>
      <c r="K67" s="162" t="str">
        <f ca="1">IF($A67=0,"-",CONCATENATE(C67&amp;".",IF(AND($A$5&gt;=2,$A67&gt;=2),D67&amp;".",""),IF(AND($A$5&gt;=3,$A67&gt;=3),E67&amp;".",""),IF(AND($A$5&gt;=4,$A67&gt;=4),F67&amp;".",""),IF($A67="S",G67&amp;".","")))</f>
        <v>3.5.3.</v>
      </c>
      <c r="L67" s="209" t="s">
        <v>238</v>
      </c>
      <c r="M67" s="209" t="s">
        <v>368</v>
      </c>
      <c r="N67" s="230" t="s">
        <v>387</v>
      </c>
      <c r="O67" s="229" t="s">
        <v>246</v>
      </c>
      <c r="P67" s="232">
        <v>92</v>
      </c>
      <c r="Q67" s="228">
        <v>21.31</v>
      </c>
      <c r="R67" s="231" t="s">
        <v>7</v>
      </c>
      <c r="S67" s="121">
        <f ca="1">IF($A67="S",IF($Q$10="Preço Unitário (R$)",PO.CustoUnitario,ROUND(PO.CustoUnitario*(1+$Z67),15-13*$X$6)),0)</f>
        <v>26.05</v>
      </c>
      <c r="T67" s="98">
        <f ca="1">IF($A67="S",VTOTAL1,IF($A67=0,0,ROUND(SomaAgrup,15-13*$X$7)))</f>
        <v>2396.6</v>
      </c>
      <c r="U67" s="13" t="str">
        <f ca="1">IF($J67="","",IF($N67="","DESCRIÇÃO",IF(AND($J67="Serviço",$O67=""),"UNIDADE",IF($T67&lt;=0,"SEM VALOR",IF(AND($Y67&lt;&gt;"",$Q67&gt;$Y67),"ACIMA REF.","")))))</f>
        <v>ACIMA REF.</v>
      </c>
      <c r="V67" s="4" t="str">
        <f ca="1">IF(OR($A67=0,$A67="S",$A67&gt;CFF!$A$9),"",MAX(V$12:OFFSET(V67,-1,0))+1)</f>
        <v/>
      </c>
      <c r="W67" s="9" t="str">
        <f>IF(AND($J67="Serviço",$M67&lt;&gt;""),IF($L67="",$M67,CONCATENATE($L67,"-",$M67)))</f>
        <v>SINAPI-91786</v>
      </c>
      <c r="X67" s="4" t="e">
        <f ca="1">IF(AND(Fonte&lt;&gt;"",Código&lt;&gt;""),MATCH(Fonte&amp;" "&amp;IF(Fonte="sinapi",SUBSTITUTE(SUBSTITUTE(Código,"/00","/"),"/0","/"),Código),INDIRECT("'[Referência "&amp;_xlnm.Database&amp;".xls]Banco'!$a:$a"),0),"X")</f>
        <v>#REF!</v>
      </c>
      <c r="Y67" s="121">
        <f ca="1">IF(Import.Desoneracao="sim",Referencia.Desonerado,Referencia.NaoDesonerado)</f>
        <v>0</v>
      </c>
      <c r="Z67" s="132">
        <f ca="1">ROUND(IF(ISNUMBER(R67),R67,IF(LEFT(R67,3)="BDI",HLOOKUP(R67,DADOS!$T$37:$X$38,2,FALSE),0)),15-11*$X$5)</f>
        <v>0.2223</v>
      </c>
      <c r="AA67" s="4"/>
    </row>
    <row r="68" spans="1:27" ht="51" x14ac:dyDescent="0.2">
      <c r="A68" t="str">
        <f>CHOOSE(1+LOG(1+2*(J68="Meta")+4*(J68="Nível 2")+8*(J68="Nível 3")+16*(J68="Nível 4")+32*(J68="Serviço"),2),0,1,2,3,4,"S")</f>
        <v>S</v>
      </c>
      <c r="B68">
        <f>IF(OR(A68="S",A68=0),0,IF(ISERROR(I68),H68,SMALL(H68:I68,1)))</f>
        <v>0</v>
      </c>
      <c r="C68">
        <f ca="1">IF($A68=1,OFFSET(C68,-1,0)+1,OFFSET(C68,-1,0))</f>
        <v>3</v>
      </c>
      <c r="D68">
        <f ca="1">IF($A68=1,0,IF($A68=2,OFFSET(D68,-1,0)+1,OFFSET(D68,-1,0)))</f>
        <v>5</v>
      </c>
      <c r="E68">
        <f ca="1">IF(AND($A68&lt;=2,$A68&lt;&gt;0),0,IF($A68=3,OFFSET(E68,-1,0)+1,OFFSET(E68,-1,0)))</f>
        <v>0</v>
      </c>
      <c r="F68">
        <f ca="1">IF(AND($A68&lt;=3,$A68&lt;&gt;0),0,IF($A68=4,OFFSET(F68,-1,0)+1,OFFSET(F68,-1,0)))</f>
        <v>0</v>
      </c>
      <c r="G68">
        <f ca="1">IF(AND($A68&lt;=4,$A68&lt;&gt;0),0,IF($A68="S",OFFSET(G68,-1,0)+1,OFFSET(G68,-1,0)))</f>
        <v>4</v>
      </c>
      <c r="H68">
        <f t="shared" ca="1" si="39"/>
        <v>0</v>
      </c>
      <c r="I68">
        <f t="shared" ca="1" si="40"/>
        <v>0</v>
      </c>
      <c r="J68" s="120" t="s">
        <v>103</v>
      </c>
      <c r="K68" s="162" t="str">
        <f ca="1">IF($A68=0,"-",CONCATENATE(C68&amp;".",IF(AND($A$5&gt;=2,$A68&gt;=2),D68&amp;".",""),IF(AND($A$5&gt;=3,$A68&gt;=3),E68&amp;".",""),IF(AND($A$5&gt;=4,$A68&gt;=4),F68&amp;".",""),IF($A68="S",G68&amp;".","")))</f>
        <v>3.5.4.</v>
      </c>
      <c r="L68" s="209" t="s">
        <v>238</v>
      </c>
      <c r="M68" s="209" t="s">
        <v>369</v>
      </c>
      <c r="N68" s="230" t="s">
        <v>388</v>
      </c>
      <c r="O68" s="229" t="s">
        <v>246</v>
      </c>
      <c r="P68" s="232">
        <v>10</v>
      </c>
      <c r="Q68" s="228">
        <v>32.11</v>
      </c>
      <c r="R68" s="231" t="s">
        <v>7</v>
      </c>
      <c r="S68" s="121">
        <f ca="1">IF($A68="S",IF($Q$10="Preço Unitário (R$)",PO.CustoUnitario,ROUND(PO.CustoUnitario*(1+$Z68),15-13*$X$6)),0)</f>
        <v>39.25</v>
      </c>
      <c r="T68" s="98">
        <f ca="1">IF($A68="S",VTOTAL1,IF($A68=0,0,ROUND(SomaAgrup,15-13*$X$7)))</f>
        <v>392.5</v>
      </c>
      <c r="U68" s="13" t="str">
        <f ca="1">IF($J68="","",IF($N68="","DESCRIÇÃO",IF(AND($J68="Serviço",$O68=""),"UNIDADE",IF($T68&lt;=0,"SEM VALOR",IF(AND($Y68&lt;&gt;"",$Q68&gt;$Y68),"ACIMA REF.","")))))</f>
        <v>ACIMA REF.</v>
      </c>
      <c r="V68" s="4" t="str">
        <f ca="1">IF(OR($A68=0,$A68="S",$A68&gt;CFF!$A$9),"",MAX(V$12:OFFSET(V68,-1,0))+1)</f>
        <v/>
      </c>
      <c r="W68" s="9" t="str">
        <f>IF(AND($J68="Serviço",$M68&lt;&gt;""),IF($L68="",$M68,CONCATENATE($L68,"-",$M68)))</f>
        <v>SINAPI-91785</v>
      </c>
      <c r="X68" s="4" t="e">
        <f ca="1">IF(AND(Fonte&lt;&gt;"",Código&lt;&gt;""),MATCH(Fonte&amp;" "&amp;IF(Fonte="sinapi",SUBSTITUTE(SUBSTITUTE(Código,"/00","/"),"/0","/"),Código),INDIRECT("'[Referência "&amp;_xlnm.Database&amp;".xls]Banco'!$a:$a"),0),"X")</f>
        <v>#REF!</v>
      </c>
      <c r="Y68" s="121">
        <f ca="1">IF(Import.Desoneracao="sim",Referencia.Desonerado,Referencia.NaoDesonerado)</f>
        <v>0</v>
      </c>
      <c r="Z68" s="132">
        <f ca="1">ROUND(IF(ISNUMBER(R68),R68,IF(LEFT(R68,3)="BDI",HLOOKUP(R68,DADOS!$T$37:$X$38,2,FALSE),0)),15-11*$X$5)</f>
        <v>0.2223</v>
      </c>
      <c r="AA68" s="4"/>
    </row>
    <row r="69" spans="1:27" ht="38.25" x14ac:dyDescent="0.2">
      <c r="A69" t="str">
        <f>CHOOSE(1+LOG(1+2*(J69="Meta")+4*(J69="Nível 2")+8*(J69="Nível 3")+16*(J69="Nível 4")+32*(J69="Serviço"),2),0,1,2,3,4,"S")</f>
        <v>S</v>
      </c>
      <c r="B69">
        <f>IF(OR(A69="S",A69=0),0,IF(ISERROR(I69),H69,SMALL(H69:I69,1)))</f>
        <v>0</v>
      </c>
      <c r="C69">
        <f ca="1">IF($A69=1,OFFSET(C69,-1,0)+1,OFFSET(C69,-1,0))</f>
        <v>3</v>
      </c>
      <c r="D69">
        <f ca="1">IF($A69=1,0,IF($A69=2,OFFSET(D69,-1,0)+1,OFFSET(D69,-1,0)))</f>
        <v>5</v>
      </c>
      <c r="E69">
        <f ca="1">IF(AND($A69&lt;=2,$A69&lt;&gt;0),0,IF($A69=3,OFFSET(E69,-1,0)+1,OFFSET(E69,-1,0)))</f>
        <v>0</v>
      </c>
      <c r="F69">
        <f ca="1">IF(AND($A69&lt;=3,$A69&lt;&gt;0),0,IF($A69=4,OFFSET(F69,-1,0)+1,OFFSET(F69,-1,0)))</f>
        <v>0</v>
      </c>
      <c r="G69">
        <f ca="1">IF(AND($A69&lt;=4,$A69&lt;&gt;0),0,IF($A69="S",OFFSET(G69,-1,0)+1,OFFSET(G69,-1,0)))</f>
        <v>5</v>
      </c>
      <c r="H69">
        <f t="shared" ca="1" si="39"/>
        <v>0</v>
      </c>
      <c r="I69">
        <f t="shared" ca="1" si="40"/>
        <v>0</v>
      </c>
      <c r="J69" s="120" t="s">
        <v>103</v>
      </c>
      <c r="K69" s="162" t="str">
        <f ca="1">IF($A69=0,"-",CONCATENATE(C69&amp;".",IF(AND($A$5&gt;=2,$A69&gt;=2),D69&amp;".",""),IF(AND($A$5&gt;=3,$A69&gt;=3),E69&amp;".",""),IF(AND($A$5&gt;=4,$A69&gt;=4),F69&amp;".",""),IF($A69="S",G69&amp;".","")))</f>
        <v>3.5.5.</v>
      </c>
      <c r="L69" s="209" t="s">
        <v>238</v>
      </c>
      <c r="M69" s="209" t="s">
        <v>370</v>
      </c>
      <c r="N69" s="230" t="s">
        <v>389</v>
      </c>
      <c r="O69" s="229" t="s">
        <v>245</v>
      </c>
      <c r="P69" s="232">
        <v>6</v>
      </c>
      <c r="Q69" s="228">
        <v>50.03</v>
      </c>
      <c r="R69" s="231" t="s">
        <v>7</v>
      </c>
      <c r="S69" s="121">
        <f ca="1">IF($A69="S",IF($Q$10="Preço Unitário (R$)",PO.CustoUnitario,ROUND(PO.CustoUnitario*(1+$Z69),15-13*$X$6)),0)</f>
        <v>61.15</v>
      </c>
      <c r="T69" s="98">
        <f ca="1">IF($A69="S",VTOTAL1,IF($A69=0,0,ROUND(SomaAgrup,15-13*$X$7)))</f>
        <v>366.9</v>
      </c>
      <c r="U69" s="13" t="str">
        <f ca="1">IF($J69="","",IF($N69="","DESCRIÇÃO",IF(AND($J69="Serviço",$O69=""),"UNIDADE",IF($T69&lt;=0,"SEM VALOR",IF(AND($Y69&lt;&gt;"",$Q69&gt;$Y69),"ACIMA REF.","")))))</f>
        <v>ACIMA REF.</v>
      </c>
      <c r="V69" s="4" t="str">
        <f ca="1">IF(OR($A69=0,$A69="S",$A69&gt;CFF!$A$9),"",MAX(V$12:OFFSET(V69,-1,0))+1)</f>
        <v/>
      </c>
      <c r="W69" s="9" t="str">
        <f>IF(AND($J69="Serviço",$M69&lt;&gt;""),IF($L69="",$M69,CONCATENATE($L69,"-",$M69)))</f>
        <v>SINAPI-89972</v>
      </c>
      <c r="X69" s="4" t="e">
        <f ca="1">IF(AND(Fonte&lt;&gt;"",Código&lt;&gt;""),MATCH(Fonte&amp;" "&amp;IF(Fonte="sinapi",SUBSTITUTE(SUBSTITUTE(Código,"/00","/"),"/0","/"),Código),INDIRECT("'[Referência "&amp;_xlnm.Database&amp;".xls]Banco'!$a:$a"),0),"X")</f>
        <v>#REF!</v>
      </c>
      <c r="Y69" s="121">
        <f ca="1">IF(Import.Desoneracao="sim",Referencia.Desonerado,Referencia.NaoDesonerado)</f>
        <v>0</v>
      </c>
      <c r="Z69" s="132">
        <f ca="1">ROUND(IF(ISNUMBER(R69),R69,IF(LEFT(R69,3)="BDI",HLOOKUP(R69,DADOS!$T$37:$X$38,2,FALSE),0)),15-11*$X$5)</f>
        <v>0.2223</v>
      </c>
      <c r="AA69" s="4"/>
    </row>
    <row r="70" spans="1:27" ht="38.25" x14ac:dyDescent="0.2">
      <c r="A70" t="str">
        <f t="shared" si="0"/>
        <v>S</v>
      </c>
      <c r="B70">
        <f t="shared" si="1"/>
        <v>0</v>
      </c>
      <c r="C70">
        <f t="shared" ca="1" si="2"/>
        <v>3</v>
      </c>
      <c r="D70">
        <f t="shared" ca="1" si="3"/>
        <v>5</v>
      </c>
      <c r="E70">
        <f t="shared" ca="1" si="4"/>
        <v>0</v>
      </c>
      <c r="F70">
        <f t="shared" ca="1" si="5"/>
        <v>0</v>
      </c>
      <c r="G70">
        <f t="shared" ca="1" si="6"/>
        <v>6</v>
      </c>
      <c r="H70">
        <f t="shared" ca="1" si="39"/>
        <v>0</v>
      </c>
      <c r="I70">
        <f t="shared" ca="1" si="40"/>
        <v>0</v>
      </c>
      <c r="J70" s="120" t="s">
        <v>103</v>
      </c>
      <c r="K70" s="162" t="str">
        <f t="shared" ca="1" si="9"/>
        <v>3.5.6.</v>
      </c>
      <c r="L70" s="209" t="s">
        <v>238</v>
      </c>
      <c r="M70" s="209" t="s">
        <v>290</v>
      </c>
      <c r="N70" s="230" t="s">
        <v>324</v>
      </c>
      <c r="O70" s="229" t="s">
        <v>245</v>
      </c>
      <c r="P70" s="232">
        <v>20</v>
      </c>
      <c r="Q70" s="228">
        <v>104.58</v>
      </c>
      <c r="R70" s="231" t="s">
        <v>7</v>
      </c>
      <c r="S70" s="121">
        <f t="shared" ca="1" si="10"/>
        <v>127.83</v>
      </c>
      <c r="T70" s="98">
        <f t="shared" ca="1" si="11"/>
        <v>2556.6</v>
      </c>
      <c r="U70" s="13" t="str">
        <f t="shared" ca="1" si="12"/>
        <v>ACIMA REF.</v>
      </c>
      <c r="V70" s="4" t="str">
        <f ca="1">IF(OR($A70=0,$A70="S",$A70&gt;CFF!$A$9),"",MAX(V$12:OFFSET(V70,-1,0))+1)</f>
        <v/>
      </c>
      <c r="W70" s="9" t="str">
        <f t="shared" si="13"/>
        <v>SINAPI-89957</v>
      </c>
      <c r="X70" s="4" t="e">
        <f t="shared" ca="1" si="14"/>
        <v>#REF!</v>
      </c>
      <c r="Y70" s="121">
        <f t="shared" ca="1" si="15"/>
        <v>0</v>
      </c>
      <c r="Z70" s="132">
        <f ca="1">ROUND(IF(ISNUMBER(R70),R70,IF(LEFT(R70,3)="BDI",HLOOKUP(R70,DADOS!$T$37:$X$38,2,FALSE),0)),15-11*$X$5)</f>
        <v>0.2223</v>
      </c>
      <c r="AA70" s="4"/>
    </row>
    <row r="71" spans="1:27" ht="25.5" x14ac:dyDescent="0.2">
      <c r="A71" t="str">
        <f t="shared" si="0"/>
        <v>S</v>
      </c>
      <c r="B71">
        <f t="shared" si="1"/>
        <v>0</v>
      </c>
      <c r="C71">
        <f t="shared" ca="1" si="2"/>
        <v>3</v>
      </c>
      <c r="D71">
        <f t="shared" ca="1" si="3"/>
        <v>5</v>
      </c>
      <c r="E71">
        <f t="shared" ca="1" si="4"/>
        <v>0</v>
      </c>
      <c r="F71">
        <f t="shared" ca="1" si="5"/>
        <v>0</v>
      </c>
      <c r="G71">
        <f t="shared" ca="1" si="6"/>
        <v>7</v>
      </c>
      <c r="H71">
        <f t="shared" ca="1" si="39"/>
        <v>0</v>
      </c>
      <c r="I71">
        <f t="shared" ca="1" si="40"/>
        <v>0</v>
      </c>
      <c r="J71" s="120" t="s">
        <v>103</v>
      </c>
      <c r="K71" s="162" t="str">
        <f t="shared" ca="1" si="9"/>
        <v>3.5.7.</v>
      </c>
      <c r="L71" s="209" t="s">
        <v>238</v>
      </c>
      <c r="M71" s="209" t="s">
        <v>291</v>
      </c>
      <c r="N71" s="230" t="s">
        <v>325</v>
      </c>
      <c r="O71" s="229" t="s">
        <v>245</v>
      </c>
      <c r="P71" s="232">
        <v>10</v>
      </c>
      <c r="Q71" s="228">
        <v>10.3</v>
      </c>
      <c r="R71" s="231" t="s">
        <v>7</v>
      </c>
      <c r="S71" s="121">
        <f t="shared" ca="1" si="10"/>
        <v>12.59</v>
      </c>
      <c r="T71" s="98">
        <f t="shared" ca="1" si="11"/>
        <v>125.9</v>
      </c>
      <c r="U71" s="13" t="str">
        <f t="shared" ca="1" si="12"/>
        <v>ACIMA REF.</v>
      </c>
      <c r="V71" s="4" t="str">
        <f ca="1">IF(OR($A71=0,$A71="S",$A71&gt;CFF!$A$9),"",MAX(V$12:OFFSET(V71,-1,0))+1)</f>
        <v/>
      </c>
      <c r="W71" s="9" t="str">
        <f t="shared" si="13"/>
        <v>SINAPI-89709</v>
      </c>
      <c r="X71" s="4" t="e">
        <f t="shared" ca="1" si="14"/>
        <v>#REF!</v>
      </c>
      <c r="Y71" s="121">
        <f t="shared" ca="1" si="15"/>
        <v>0</v>
      </c>
      <c r="Z71" s="132">
        <f ca="1">ROUND(IF(ISNUMBER(R71),R71,IF(LEFT(R71,3)="BDI",HLOOKUP(R71,DADOS!$T$37:$X$38,2,FALSE),0)),15-11*$X$5)</f>
        <v>0.2223</v>
      </c>
      <c r="AA71" s="4"/>
    </row>
    <row r="72" spans="1:27" ht="51" x14ac:dyDescent="0.2">
      <c r="A72" t="str">
        <f>CHOOSE(1+LOG(1+2*(J72="Meta")+4*(J72="Nível 2")+8*(J72="Nível 3")+16*(J72="Nível 4")+32*(J72="Serviço"),2),0,1,2,3,4,"S")</f>
        <v>S</v>
      </c>
      <c r="B72">
        <f>IF(OR(A72="S",A72=0),0,IF(ISERROR(I72),H72,SMALL(H72:I72,1)))</f>
        <v>0</v>
      </c>
      <c r="C72">
        <f ca="1">IF($A72=1,OFFSET(C72,-1,0)+1,OFFSET(C72,-1,0))</f>
        <v>3</v>
      </c>
      <c r="D72">
        <f ca="1">IF($A72=1,0,IF($A72=2,OFFSET(D72,-1,0)+1,OFFSET(D72,-1,0)))</f>
        <v>5</v>
      </c>
      <c r="E72">
        <f ca="1">IF(AND($A72&lt;=2,$A72&lt;&gt;0),0,IF($A72=3,OFFSET(E72,-1,0)+1,OFFSET(E72,-1,0)))</f>
        <v>0</v>
      </c>
      <c r="F72">
        <f ca="1">IF(AND($A72&lt;=3,$A72&lt;&gt;0),0,IF($A72=4,OFFSET(F72,-1,0)+1,OFFSET(F72,-1,0)))</f>
        <v>0</v>
      </c>
      <c r="G72">
        <f ca="1">IF(AND($A72&lt;=4,$A72&lt;&gt;0),0,IF($A72="S",OFFSET(G72,-1,0)+1,OFFSET(G72,-1,0)))</f>
        <v>8</v>
      </c>
      <c r="H72">
        <f t="shared" ca="1" si="39"/>
        <v>0</v>
      </c>
      <c r="I72">
        <f t="shared" ca="1" si="40"/>
        <v>0</v>
      </c>
      <c r="J72" s="120" t="s">
        <v>103</v>
      </c>
      <c r="K72" s="162" t="str">
        <f ca="1">IF($A72=0,"-",CONCATENATE(C72&amp;".",IF(AND($A$5&gt;=2,$A72&gt;=2),D72&amp;".",""),IF(AND($A$5&gt;=3,$A72&gt;=3),E72&amp;".",""),IF(AND($A$5&gt;=4,$A72&gt;=4),F72&amp;".",""),IF($A72="S",G72&amp;".","")))</f>
        <v>3.5.8.</v>
      </c>
      <c r="L72" s="209" t="s">
        <v>238</v>
      </c>
      <c r="M72" s="209" t="s">
        <v>371</v>
      </c>
      <c r="N72" s="230" t="s">
        <v>390</v>
      </c>
      <c r="O72" s="229" t="s">
        <v>246</v>
      </c>
      <c r="P72" s="232">
        <v>24</v>
      </c>
      <c r="Q72" s="228">
        <v>48.01</v>
      </c>
      <c r="R72" s="231" t="s">
        <v>7</v>
      </c>
      <c r="S72" s="121">
        <f ca="1">IF($A72="S",IF($Q$10="Preço Unitário (R$)",PO.CustoUnitario,ROUND(PO.CustoUnitario*(1+$Z72),15-13*$X$6)),0)</f>
        <v>58.68</v>
      </c>
      <c r="T72" s="98">
        <f ca="1">IF($A72="S",VTOTAL1,IF($A72=0,0,ROUND(SomaAgrup,15-13*$X$7)))</f>
        <v>1408.32</v>
      </c>
      <c r="U72" s="13" t="str">
        <f ca="1">IF($J72="","",IF($N72="","DESCRIÇÃO",IF(AND($J72="Serviço",$O72=""),"UNIDADE",IF($T72&lt;=0,"SEM VALOR",IF(AND($Y72&lt;&gt;"",$Q72&gt;$Y72),"ACIMA REF.","")))))</f>
        <v>ACIMA REF.</v>
      </c>
      <c r="V72" s="4" t="str">
        <f ca="1">IF(OR($A72=0,$A72="S",$A72&gt;CFF!$A$9),"",MAX(V$12:OFFSET(V72,-1,0))+1)</f>
        <v/>
      </c>
      <c r="W72" s="9" t="str">
        <f>IF(AND($J72="Serviço",$M72&lt;&gt;""),IF($L72="",$M72,CONCATENATE($L72,"-",$M72)))</f>
        <v>SINAPI-91795</v>
      </c>
      <c r="X72" s="4" t="e">
        <f ca="1">IF(AND(Fonte&lt;&gt;"",Código&lt;&gt;""),MATCH(Fonte&amp;" "&amp;IF(Fonte="sinapi",SUBSTITUTE(SUBSTITUTE(Código,"/00","/"),"/0","/"),Código),INDIRECT("'[Referência "&amp;_xlnm.Database&amp;".xls]Banco'!$a:$a"),0),"X")</f>
        <v>#REF!</v>
      </c>
      <c r="Y72" s="121">
        <f ca="1">IF(Import.Desoneracao="sim",Referencia.Desonerado,Referencia.NaoDesonerado)</f>
        <v>0</v>
      </c>
      <c r="Z72" s="132">
        <f ca="1">ROUND(IF(ISNUMBER(R72),R72,IF(LEFT(R72,3)="BDI",HLOOKUP(R72,DADOS!$T$37:$X$38,2,FALSE),0)),15-11*$X$5)</f>
        <v>0.2223</v>
      </c>
      <c r="AA72" s="4"/>
    </row>
    <row r="73" spans="1:27" ht="51" x14ac:dyDescent="0.2">
      <c r="A73" t="str">
        <f>CHOOSE(1+LOG(1+2*(J73="Meta")+4*(J73="Nível 2")+8*(J73="Nível 3")+16*(J73="Nível 4")+32*(J73="Serviço"),2),0,1,2,3,4,"S")</f>
        <v>S</v>
      </c>
      <c r="B73">
        <f>IF(OR(A73="S",A73=0),0,IF(ISERROR(I73),H73,SMALL(H73:I73,1)))</f>
        <v>0</v>
      </c>
      <c r="C73">
        <f ca="1">IF($A73=1,OFFSET(C73,-1,0)+1,OFFSET(C73,-1,0))</f>
        <v>3</v>
      </c>
      <c r="D73">
        <f ca="1">IF($A73=1,0,IF($A73=2,OFFSET(D73,-1,0)+1,OFFSET(D73,-1,0)))</f>
        <v>5</v>
      </c>
      <c r="E73">
        <f ca="1">IF(AND($A73&lt;=2,$A73&lt;&gt;0),0,IF($A73=3,OFFSET(E73,-1,0)+1,OFFSET(E73,-1,0)))</f>
        <v>0</v>
      </c>
      <c r="F73">
        <f ca="1">IF(AND($A73&lt;=3,$A73&lt;&gt;0),0,IF($A73=4,OFFSET(F73,-1,0)+1,OFFSET(F73,-1,0)))</f>
        <v>0</v>
      </c>
      <c r="G73">
        <f ca="1">IF(AND($A73&lt;=4,$A73&lt;&gt;0),0,IF($A73="S",OFFSET(G73,-1,0)+1,OFFSET(G73,-1,0)))</f>
        <v>9</v>
      </c>
      <c r="H73">
        <f t="shared" ca="1" si="39"/>
        <v>0</v>
      </c>
      <c r="I73">
        <f t="shared" ca="1" si="40"/>
        <v>0</v>
      </c>
      <c r="J73" s="120" t="s">
        <v>103</v>
      </c>
      <c r="K73" s="162" t="str">
        <f ca="1">IF($A73=0,"-",CONCATENATE(C73&amp;".",IF(AND($A$5&gt;=2,$A73&gt;=2),D73&amp;".",""),IF(AND($A$5&gt;=3,$A73&gt;=3),E73&amp;".",""),IF(AND($A$5&gt;=4,$A73&gt;=4),F73&amp;".",""),IF($A73="S",G73&amp;".","")))</f>
        <v>3.5.9.</v>
      </c>
      <c r="L73" s="209" t="s">
        <v>238</v>
      </c>
      <c r="M73" s="209" t="s">
        <v>372</v>
      </c>
      <c r="N73" s="230" t="s">
        <v>391</v>
      </c>
      <c r="O73" s="229" t="s">
        <v>246</v>
      </c>
      <c r="P73" s="232">
        <v>18</v>
      </c>
      <c r="Q73" s="228">
        <v>28.23</v>
      </c>
      <c r="R73" s="231" t="s">
        <v>7</v>
      </c>
      <c r="S73" s="121">
        <f ca="1">IF($A73="S",IF($Q$10="Preço Unitário (R$)",PO.CustoUnitario,ROUND(PO.CustoUnitario*(1+$Z73),15-13*$X$6)),0)</f>
        <v>34.51</v>
      </c>
      <c r="T73" s="98">
        <f ca="1">IF($A73="S",VTOTAL1,IF($A73=0,0,ROUND(SomaAgrup,15-13*$X$7)))</f>
        <v>621.17999999999995</v>
      </c>
      <c r="U73" s="13" t="str">
        <f ca="1">IF($J73="","",IF($N73="","DESCRIÇÃO",IF(AND($J73="Serviço",$O73=""),"UNIDADE",IF($T73&lt;=0,"SEM VALOR",IF(AND($Y73&lt;&gt;"",$Q73&gt;$Y73),"ACIMA REF.","")))))</f>
        <v>ACIMA REF.</v>
      </c>
      <c r="V73" s="4" t="str">
        <f ca="1">IF(OR($A73=0,$A73="S",$A73&gt;CFF!$A$9),"",MAX(V$12:OFFSET(V73,-1,0))+1)</f>
        <v/>
      </c>
      <c r="W73" s="9" t="str">
        <f>IF(AND($J73="Serviço",$M73&lt;&gt;""),IF($L73="",$M73,CONCATENATE($L73,"-",$M73)))</f>
        <v>SINAPI-91794</v>
      </c>
      <c r="X73" s="4" t="e">
        <f ca="1">IF(AND(Fonte&lt;&gt;"",Código&lt;&gt;""),MATCH(Fonte&amp;" "&amp;IF(Fonte="sinapi",SUBSTITUTE(SUBSTITUTE(Código,"/00","/"),"/0","/"),Código),INDIRECT("'[Referência "&amp;_xlnm.Database&amp;".xls]Banco'!$a:$a"),0),"X")</f>
        <v>#REF!</v>
      </c>
      <c r="Y73" s="121">
        <f ca="1">IF(Import.Desoneracao="sim",Referencia.Desonerado,Referencia.NaoDesonerado)</f>
        <v>0</v>
      </c>
      <c r="Z73" s="132">
        <f ca="1">ROUND(IF(ISNUMBER(R73),R73,IF(LEFT(R73,3)="BDI",HLOOKUP(R73,DADOS!$T$37:$X$38,2,FALSE),0)),15-11*$X$5)</f>
        <v>0.2223</v>
      </c>
      <c r="AA73" s="4"/>
    </row>
    <row r="74" spans="1:27" ht="38.25" x14ac:dyDescent="0.2">
      <c r="A74" t="str">
        <f>CHOOSE(1+LOG(1+2*(J74="Meta")+4*(J74="Nível 2")+8*(J74="Nível 3")+16*(J74="Nível 4")+32*(J74="Serviço"),2),0,1,2,3,4,"S")</f>
        <v>S</v>
      </c>
      <c r="B74">
        <f>IF(OR(A74="S",A74=0),0,IF(ISERROR(I74),H74,SMALL(H74:I74,1)))</f>
        <v>0</v>
      </c>
      <c r="C74">
        <f ca="1">IF($A74=1,OFFSET(C74,-1,0)+1,OFFSET(C74,-1,0))</f>
        <v>3</v>
      </c>
      <c r="D74">
        <f ca="1">IF($A74=1,0,IF($A74=2,OFFSET(D74,-1,0)+1,OFFSET(D74,-1,0)))</f>
        <v>5</v>
      </c>
      <c r="E74">
        <f ca="1">IF(AND($A74&lt;=2,$A74&lt;&gt;0),0,IF($A74=3,OFFSET(E74,-1,0)+1,OFFSET(E74,-1,0)))</f>
        <v>0</v>
      </c>
      <c r="F74">
        <f ca="1">IF(AND($A74&lt;=3,$A74&lt;&gt;0),0,IF($A74=4,OFFSET(F74,-1,0)+1,OFFSET(F74,-1,0)))</f>
        <v>0</v>
      </c>
      <c r="G74">
        <f ca="1">IF(AND($A74&lt;=4,$A74&lt;&gt;0),0,IF($A74="S",OFFSET(G74,-1,0)+1,OFFSET(G74,-1,0)))</f>
        <v>10</v>
      </c>
      <c r="H74">
        <f t="shared" ca="1" si="39"/>
        <v>0</v>
      </c>
      <c r="I74">
        <f t="shared" ca="1" si="40"/>
        <v>0</v>
      </c>
      <c r="J74" s="120" t="s">
        <v>103</v>
      </c>
      <c r="K74" s="162" t="str">
        <f ca="1">IF($A74=0,"-",CONCATENATE(C74&amp;".",IF(AND($A$5&gt;=2,$A74&gt;=2),D74&amp;".",""),IF(AND($A$5&gt;=3,$A74&gt;=3),E74&amp;".",""),IF(AND($A$5&gt;=4,$A74&gt;=4),F74&amp;".",""),IF($A74="S",G74&amp;".","")))</f>
        <v>3.5.10.</v>
      </c>
      <c r="L74" s="209" t="s">
        <v>238</v>
      </c>
      <c r="M74" s="209" t="s">
        <v>373</v>
      </c>
      <c r="N74" s="230" t="s">
        <v>392</v>
      </c>
      <c r="O74" s="229" t="s">
        <v>245</v>
      </c>
      <c r="P74" s="232">
        <v>5</v>
      </c>
      <c r="Q74" s="228">
        <v>223.15</v>
      </c>
      <c r="R74" s="231" t="s">
        <v>7</v>
      </c>
      <c r="S74" s="121">
        <f ca="1">IF($A74="S",IF($Q$10="Preço Unitário (R$)",PO.CustoUnitario,ROUND(PO.CustoUnitario*(1+$Z74),15-13*$X$6)),0)</f>
        <v>272.76</v>
      </c>
      <c r="T74" s="98">
        <f ca="1">IF($A74="S",VTOTAL1,IF($A74=0,0,ROUND(SomaAgrup,15-13*$X$7)))</f>
        <v>1363.8</v>
      </c>
      <c r="U74" s="13" t="str">
        <f ca="1">IF($J74="","",IF($N74="","DESCRIÇÃO",IF(AND($J74="Serviço",$O74=""),"UNIDADE",IF($T74&lt;=0,"SEM VALOR",IF(AND($Y74&lt;&gt;"",$Q74&gt;$Y74),"ACIMA REF.","")))))</f>
        <v>ACIMA REF.</v>
      </c>
      <c r="V74" s="4" t="str">
        <f ca="1">IF(OR($A74=0,$A74="S",$A74&gt;CFF!$A$9),"",MAX(V$12:OFFSET(V74,-1,0))+1)</f>
        <v/>
      </c>
      <c r="W74" s="9" t="str">
        <f>IF(AND($J74="Serviço",$M74&lt;&gt;""),IF($L74="",$M74,CONCATENATE($L74,"-",$M74)))</f>
        <v>SINAPI-97901</v>
      </c>
      <c r="X74" s="4" t="e">
        <f ca="1">IF(AND(Fonte&lt;&gt;"",Código&lt;&gt;""),MATCH(Fonte&amp;" "&amp;IF(Fonte="sinapi",SUBSTITUTE(SUBSTITUTE(Código,"/00","/"),"/0","/"),Código),INDIRECT("'[Referência "&amp;_xlnm.Database&amp;".xls]Banco'!$a:$a"),0),"X")</f>
        <v>#REF!</v>
      </c>
      <c r="Y74" s="121">
        <f ca="1">IF(Import.Desoneracao="sim",Referencia.Desonerado,Referencia.NaoDesonerado)</f>
        <v>0</v>
      </c>
      <c r="Z74" s="132">
        <f ca="1">ROUND(IF(ISNUMBER(R74),R74,IF(LEFT(R74,3)="BDI",HLOOKUP(R74,DADOS!$T$37:$X$38,2,FALSE),0)),15-11*$X$5)</f>
        <v>0.2223</v>
      </c>
      <c r="AA74" s="4"/>
    </row>
    <row r="75" spans="1:27" ht="38.25" x14ac:dyDescent="0.2">
      <c r="A75" t="str">
        <f t="shared" si="0"/>
        <v>S</v>
      </c>
      <c r="B75">
        <f t="shared" si="1"/>
        <v>0</v>
      </c>
      <c r="C75">
        <f t="shared" ca="1" si="2"/>
        <v>3</v>
      </c>
      <c r="D75">
        <f t="shared" ca="1" si="3"/>
        <v>5</v>
      </c>
      <c r="E75">
        <f t="shared" ca="1" si="4"/>
        <v>0</v>
      </c>
      <c r="F75">
        <f t="shared" ca="1" si="5"/>
        <v>0</v>
      </c>
      <c r="G75">
        <f t="shared" ca="1" si="6"/>
        <v>11</v>
      </c>
      <c r="H75">
        <f t="shared" ca="1" si="39"/>
        <v>0</v>
      </c>
      <c r="I75">
        <f t="shared" ca="1" si="40"/>
        <v>0</v>
      </c>
      <c r="J75" s="120" t="s">
        <v>103</v>
      </c>
      <c r="K75" s="162" t="str">
        <f t="shared" ca="1" si="9"/>
        <v>3.5.11.</v>
      </c>
      <c r="L75" s="209" t="s">
        <v>238</v>
      </c>
      <c r="M75" s="209" t="s">
        <v>365</v>
      </c>
      <c r="N75" s="230" t="s">
        <v>393</v>
      </c>
      <c r="O75" s="229" t="s">
        <v>245</v>
      </c>
      <c r="P75" s="232">
        <v>1</v>
      </c>
      <c r="Q75" s="228">
        <v>3242.71</v>
      </c>
      <c r="R75" s="231" t="s">
        <v>7</v>
      </c>
      <c r="S75" s="121">
        <f t="shared" ca="1" si="10"/>
        <v>3963.56</v>
      </c>
      <c r="T75" s="98">
        <f t="shared" ca="1" si="11"/>
        <v>3963.56</v>
      </c>
      <c r="U75" s="13" t="str">
        <f t="shared" ca="1" si="12"/>
        <v>ACIMA REF.</v>
      </c>
      <c r="V75" s="4" t="str">
        <f ca="1">IF(OR($A75=0,$A75="S",$A75&gt;CFF!$A$9),"",MAX(V$12:OFFSET(V75,-1,0))+1)</f>
        <v/>
      </c>
      <c r="W75" s="9" t="str">
        <f t="shared" si="13"/>
        <v>SINAPI-98055</v>
      </c>
      <c r="X75" s="4" t="e">
        <f t="shared" ca="1" si="14"/>
        <v>#REF!</v>
      </c>
      <c r="Y75" s="121">
        <f t="shared" ca="1" si="15"/>
        <v>0</v>
      </c>
      <c r="Z75" s="132">
        <f ca="1">ROUND(IF(ISNUMBER(R75),R75,IF(LEFT(R75,3)="BDI",HLOOKUP(R75,DADOS!$T$37:$X$38,2,FALSE),0)),15-11*$X$5)</f>
        <v>0.2223</v>
      </c>
      <c r="AA75" s="4"/>
    </row>
    <row r="76" spans="1:27" ht="38.25" x14ac:dyDescent="0.2">
      <c r="A76" t="str">
        <f t="shared" si="0"/>
        <v>S</v>
      </c>
      <c r="B76">
        <f t="shared" si="1"/>
        <v>0</v>
      </c>
      <c r="C76">
        <f t="shared" ca="1" si="2"/>
        <v>3</v>
      </c>
      <c r="D76">
        <f t="shared" ca="1" si="3"/>
        <v>5</v>
      </c>
      <c r="E76">
        <f t="shared" ca="1" si="4"/>
        <v>0</v>
      </c>
      <c r="F76">
        <f t="shared" ca="1" si="5"/>
        <v>0</v>
      </c>
      <c r="G76">
        <f t="shared" ca="1" si="6"/>
        <v>12</v>
      </c>
      <c r="H76">
        <f t="shared" ca="1" si="39"/>
        <v>0</v>
      </c>
      <c r="I76">
        <f t="shared" ca="1" si="40"/>
        <v>0</v>
      </c>
      <c r="J76" s="120" t="s">
        <v>103</v>
      </c>
      <c r="K76" s="162" t="str">
        <f t="shared" ca="1" si="9"/>
        <v>3.5.12.</v>
      </c>
      <c r="L76" s="209" t="s">
        <v>238</v>
      </c>
      <c r="M76" s="209" t="s">
        <v>366</v>
      </c>
      <c r="N76" s="230" t="s">
        <v>394</v>
      </c>
      <c r="O76" s="229" t="s">
        <v>245</v>
      </c>
      <c r="P76" s="232">
        <v>1</v>
      </c>
      <c r="Q76" s="228">
        <v>9492.4699999999993</v>
      </c>
      <c r="R76" s="231" t="s">
        <v>7</v>
      </c>
      <c r="S76" s="121">
        <f t="shared" ca="1" si="10"/>
        <v>11602.65</v>
      </c>
      <c r="T76" s="98">
        <f t="shared" ca="1" si="11"/>
        <v>11602.65</v>
      </c>
      <c r="U76" s="13" t="str">
        <f t="shared" ca="1" si="12"/>
        <v>ACIMA REF.</v>
      </c>
      <c r="V76" s="4" t="str">
        <f ca="1">IF(OR($A76=0,$A76="S",$A76&gt;CFF!$A$9),"",MAX(V$12:OFFSET(V76,-1,0))+1)</f>
        <v/>
      </c>
      <c r="W76" s="9" t="str">
        <f t="shared" si="13"/>
        <v>SINAPI-98092</v>
      </c>
      <c r="X76" s="4" t="e">
        <f t="shared" ca="1" si="14"/>
        <v>#REF!</v>
      </c>
      <c r="Y76" s="121">
        <f t="shared" ca="1" si="15"/>
        <v>0</v>
      </c>
      <c r="Z76" s="132">
        <f ca="1">ROUND(IF(ISNUMBER(R76),R76,IF(LEFT(R76,3)="BDI",HLOOKUP(R76,DADOS!$T$37:$X$38,2,FALSE),0)),15-11*$X$5)</f>
        <v>0.2223</v>
      </c>
      <c r="AA76" s="4"/>
    </row>
    <row r="77" spans="1:27" x14ac:dyDescent="0.2">
      <c r="A77" t="str">
        <f>CHOOSE(1+LOG(1+2*(J77="Meta")+4*(J77="Nível 2")+8*(J77="Nível 3")+16*(J77="Nível 4")+32*(J77="Serviço"),2),0,1,2,3,4,"S")</f>
        <v>S</v>
      </c>
      <c r="B77">
        <f>IF(OR(A77="S",A77=0),0,IF(ISERROR(I77),H77,SMALL(H77:I77,1)))</f>
        <v>0</v>
      </c>
      <c r="C77">
        <f ca="1">IF($A77=1,OFFSET(C77,-1,0)+1,OFFSET(C77,-1,0))</f>
        <v>3</v>
      </c>
      <c r="D77">
        <f ca="1">IF($A77=1,0,IF($A77=2,OFFSET(D77,-1,0)+1,OFFSET(D77,-1,0)))</f>
        <v>5</v>
      </c>
      <c r="E77">
        <f ca="1">IF(AND($A77&lt;=2,$A77&lt;&gt;0),0,IF($A77=3,OFFSET(E77,-1,0)+1,OFFSET(E77,-1,0)))</f>
        <v>0</v>
      </c>
      <c r="F77">
        <f ca="1">IF(AND($A77&lt;=3,$A77&lt;&gt;0),0,IF($A77=4,OFFSET(F77,-1,0)+1,OFFSET(F77,-1,0)))</f>
        <v>0</v>
      </c>
      <c r="G77">
        <f ca="1">IF(AND($A77&lt;=4,$A77&lt;&gt;0),0,IF($A77="S",OFFSET(G77,-1,0)+1,OFFSET(G77,-1,0)))</f>
        <v>13</v>
      </c>
      <c r="H77">
        <f t="shared" ref="H77:H108" ca="1" si="51">IF(OR($A77="S",$A77=0),0,MATCH(0,OFFSET($B77,1,$A77,ROW($A$134)-ROW($A77)),0))</f>
        <v>0</v>
      </c>
      <c r="I77">
        <f t="shared" ref="I77:I108" ca="1" si="52">IF(OR($A77="S",$A77=0),0,MATCH(OFFSET($B77,0,$A77)+1,OFFSET($B77,1,$A77,ROW($A$134)-ROW($A77)),0))</f>
        <v>0</v>
      </c>
      <c r="J77" s="120" t="s">
        <v>103</v>
      </c>
      <c r="K77" s="162" t="str">
        <f ca="1">IF($A77=0,"-",CONCATENATE(C77&amp;".",IF(AND($A$5&gt;=2,$A77&gt;=2),D77&amp;".",""),IF(AND($A$5&gt;=3,$A77&gt;=3),E77&amp;".",""),IF(AND($A$5&gt;=4,$A77&gt;=4),F77&amp;".",""),IF($A77="S",G77&amp;".","")))</f>
        <v>3.5.13.</v>
      </c>
      <c r="L77" s="209" t="s">
        <v>359</v>
      </c>
      <c r="M77" s="209" t="s">
        <v>46</v>
      </c>
      <c r="N77" s="230" t="s">
        <v>411</v>
      </c>
      <c r="O77" s="229" t="s">
        <v>245</v>
      </c>
      <c r="P77" s="232">
        <v>2</v>
      </c>
      <c r="Q77" s="228">
        <v>3932.51</v>
      </c>
      <c r="R77" s="231" t="s">
        <v>7</v>
      </c>
      <c r="S77" s="121">
        <f ca="1">IF($A77="S",IF($Q$10="Preço Unitário (R$)",PO.CustoUnitario,ROUND(PO.CustoUnitario*(1+$Z77),15-13*$X$6)),0)</f>
        <v>4806.71</v>
      </c>
      <c r="T77" s="98">
        <f ca="1">IF($A77="S",VTOTAL1,IF($A77=0,0,ROUND(SomaAgrup,15-13*$X$7)))</f>
        <v>9613.42</v>
      </c>
      <c r="U77" s="13" t="str">
        <f ca="1">IF($J77="","",IF($N77="","DESCRIÇÃO",IF(AND($J77="Serviço",$O77=""),"UNIDADE",IF($T77&lt;=0,"SEM VALOR",IF(AND($Y77&lt;&gt;"",$Q77&gt;$Y77),"ACIMA REF.","")))))</f>
        <v>ACIMA REF.</v>
      </c>
      <c r="V77" s="4" t="str">
        <f ca="1">IF(OR($A77=0,$A77="S",$A77&gt;CFF!$A$9),"",MAX(V$12:OFFSET(V77,-1,0))+1)</f>
        <v/>
      </c>
      <c r="W77" s="9" t="str">
        <f>IF(AND($J77="Serviço",$M77&lt;&gt;""),IF($L77="",$M77,CONCATENATE($L77,"-",$M77)))</f>
        <v>MERCADO--</v>
      </c>
      <c r="X77" s="4" t="e">
        <f ca="1">IF(AND(Fonte&lt;&gt;"",Código&lt;&gt;""),MATCH(Fonte&amp;" "&amp;IF(Fonte="sinapi",SUBSTITUTE(SUBSTITUTE(Código,"/00","/"),"/0","/"),Código),INDIRECT("'[Referência "&amp;_xlnm.Database&amp;".xls]Banco'!$a:$a"),0),"X")</f>
        <v>#REF!</v>
      </c>
      <c r="Y77" s="121">
        <f ca="1">IF(Import.Desoneracao="sim",Referencia.Desonerado,Referencia.NaoDesonerado)</f>
        <v>0</v>
      </c>
      <c r="Z77" s="132">
        <f ca="1">ROUND(IF(ISNUMBER(R77),R77,IF(LEFT(R77,3)="BDI",HLOOKUP(R77,DADOS!$T$37:$X$38,2,FALSE),0)),15-11*$X$5)</f>
        <v>0.2223</v>
      </c>
      <c r="AA77" s="4"/>
    </row>
    <row r="78" spans="1:27" ht="38.25" x14ac:dyDescent="0.2">
      <c r="A78" t="str">
        <f>CHOOSE(1+LOG(1+2*(J78="Meta")+4*(J78="Nível 2")+8*(J78="Nível 3")+16*(J78="Nível 4")+32*(J78="Serviço"),2),0,1,2,3,4,"S")</f>
        <v>S</v>
      </c>
      <c r="B78">
        <f>IF(OR(A78="S",A78=0),0,IF(ISERROR(I78),H78,SMALL(H78:I78,1)))</f>
        <v>0</v>
      </c>
      <c r="C78">
        <f ca="1">IF($A78=1,OFFSET(C78,-1,0)+1,OFFSET(C78,-1,0))</f>
        <v>3</v>
      </c>
      <c r="D78">
        <f ca="1">IF($A78=1,0,IF($A78=2,OFFSET(D78,-1,0)+1,OFFSET(D78,-1,0)))</f>
        <v>5</v>
      </c>
      <c r="E78">
        <f ca="1">IF(AND($A78&lt;=2,$A78&lt;&gt;0),0,IF($A78=3,OFFSET(E78,-1,0)+1,OFFSET(E78,-1,0)))</f>
        <v>0</v>
      </c>
      <c r="F78">
        <f ca="1">IF(AND($A78&lt;=3,$A78&lt;&gt;0),0,IF($A78=4,OFFSET(F78,-1,0)+1,OFFSET(F78,-1,0)))</f>
        <v>0</v>
      </c>
      <c r="G78">
        <f ca="1">IF(AND($A78&lt;=4,$A78&lt;&gt;0),0,IF($A78="S",OFFSET(G78,-1,0)+1,OFFSET(G78,-1,0)))</f>
        <v>14</v>
      </c>
      <c r="H78">
        <f t="shared" ca="1" si="51"/>
        <v>0</v>
      </c>
      <c r="I78">
        <f t="shared" ca="1" si="52"/>
        <v>0</v>
      </c>
      <c r="J78" s="120" t="s">
        <v>103</v>
      </c>
      <c r="K78" s="162" t="str">
        <f ca="1">IF($A78=0,"-",CONCATENATE(C78&amp;".",IF(AND($A$5&gt;=2,$A78&gt;=2),D78&amp;".",""),IF(AND($A$5&gt;=3,$A78&gt;=3),E78&amp;".",""),IF(AND($A$5&gt;=4,$A78&gt;=4),F78&amp;".",""),IF($A78="S",G78&amp;".","")))</f>
        <v>3.5.14.</v>
      </c>
      <c r="L78" s="209" t="s">
        <v>238</v>
      </c>
      <c r="M78" s="209" t="s">
        <v>398</v>
      </c>
      <c r="N78" s="230" t="s">
        <v>406</v>
      </c>
      <c r="O78" s="229" t="s">
        <v>246</v>
      </c>
      <c r="P78" s="232">
        <v>26</v>
      </c>
      <c r="Q78" s="228">
        <v>29.83</v>
      </c>
      <c r="R78" s="231" t="s">
        <v>7</v>
      </c>
      <c r="S78" s="121">
        <f ca="1">IF($A78="S",IF($Q$10="Preço Unitário (R$)",PO.CustoUnitario,ROUND(PO.CustoUnitario*(1+$Z78),15-13*$X$6)),0)</f>
        <v>36.46</v>
      </c>
      <c r="T78" s="98">
        <f ca="1">IF($A78="S",VTOTAL1,IF($A78=0,0,ROUND(SomaAgrup,15-13*$X$7)))</f>
        <v>947.96</v>
      </c>
      <c r="U78" s="13" t="str">
        <f ca="1">IF($J78="","",IF($N78="","DESCRIÇÃO",IF(AND($J78="Serviço",$O78=""),"UNIDADE",IF($T78&lt;=0,"SEM VALOR",IF(AND($Y78&lt;&gt;"",$Q78&gt;$Y78),"ACIMA REF.","")))))</f>
        <v>ACIMA REF.</v>
      </c>
      <c r="V78" s="4" t="str">
        <f ca="1">IF(OR($A78=0,$A78="S",$A78&gt;CFF!$A$9),"",MAX(V$12:OFFSET(V78,-1,0))+1)</f>
        <v/>
      </c>
      <c r="W78" s="9" t="str">
        <f>IF(AND($J78="Serviço",$M78&lt;&gt;""),IF($L78="",$M78,CONCATENATE($L78,"-",$M78)))</f>
        <v>SINAPI-91788</v>
      </c>
      <c r="X78" s="4" t="e">
        <f ca="1">IF(AND(Fonte&lt;&gt;"",Código&lt;&gt;""),MATCH(Fonte&amp;" "&amp;IF(Fonte="sinapi",SUBSTITUTE(SUBSTITUTE(Código,"/00","/"),"/0","/"),Código),INDIRECT("'[Referência "&amp;_xlnm.Database&amp;".xls]Banco'!$a:$a"),0),"X")</f>
        <v>#REF!</v>
      </c>
      <c r="Y78" s="121">
        <f ca="1">IF(Import.Desoneracao="sim",Referencia.Desonerado,Referencia.NaoDesonerado)</f>
        <v>0</v>
      </c>
      <c r="Z78" s="132">
        <f ca="1">ROUND(IF(ISNUMBER(R78),R78,IF(LEFT(R78,3)="BDI",HLOOKUP(R78,DADOS!$T$37:$X$38,2,FALSE),0)),15-11*$X$5)</f>
        <v>0.2223</v>
      </c>
      <c r="AA78" s="4"/>
    </row>
    <row r="79" spans="1:27" ht="38.25" x14ac:dyDescent="0.2">
      <c r="A79" t="str">
        <f>CHOOSE(1+LOG(1+2*(J79="Meta")+4*(J79="Nível 2")+8*(J79="Nível 3")+16*(J79="Nível 4")+32*(J79="Serviço"),2),0,1,2,3,4,"S")</f>
        <v>S</v>
      </c>
      <c r="B79">
        <f>IF(OR(A79="S",A79=0),0,IF(ISERROR(I79),H79,SMALL(H79:I79,1)))</f>
        <v>0</v>
      </c>
      <c r="C79">
        <f ca="1">IF($A79=1,OFFSET(C79,-1,0)+1,OFFSET(C79,-1,0))</f>
        <v>3</v>
      </c>
      <c r="D79">
        <f ca="1">IF($A79=1,0,IF($A79=2,OFFSET(D79,-1,0)+1,OFFSET(D79,-1,0)))</f>
        <v>5</v>
      </c>
      <c r="E79">
        <f ca="1">IF(AND($A79&lt;=2,$A79&lt;&gt;0),0,IF($A79=3,OFFSET(E79,-1,0)+1,OFFSET(E79,-1,0)))</f>
        <v>0</v>
      </c>
      <c r="F79">
        <f ca="1">IF(AND($A79&lt;=3,$A79&lt;&gt;0),0,IF($A79=4,OFFSET(F79,-1,0)+1,OFFSET(F79,-1,0)))</f>
        <v>0</v>
      </c>
      <c r="G79">
        <f ca="1">IF(AND($A79&lt;=4,$A79&lt;&gt;0),0,IF($A79="S",OFFSET(G79,-1,0)+1,OFFSET(G79,-1,0)))</f>
        <v>15</v>
      </c>
      <c r="H79">
        <f t="shared" ca="1" si="51"/>
        <v>0</v>
      </c>
      <c r="I79">
        <f t="shared" ca="1" si="52"/>
        <v>0</v>
      </c>
      <c r="J79" s="120" t="s">
        <v>103</v>
      </c>
      <c r="K79" s="162" t="str">
        <f ca="1">IF($A79=0,"-",CONCATENATE(C79&amp;".",IF(AND($A$5&gt;=2,$A79&gt;=2),D79&amp;".",""),IF(AND($A$5&gt;=3,$A79&gt;=3),E79&amp;".",""),IF(AND($A$5&gt;=4,$A79&gt;=4),F79&amp;".",""),IF($A79="S",G79&amp;".","")))</f>
        <v>3.5.15.</v>
      </c>
      <c r="L79" s="209" t="s">
        <v>238</v>
      </c>
      <c r="M79" s="209" t="s">
        <v>399</v>
      </c>
      <c r="N79" s="230" t="s">
        <v>407</v>
      </c>
      <c r="O79" s="229" t="s">
        <v>245</v>
      </c>
      <c r="P79" s="232">
        <v>2</v>
      </c>
      <c r="Q79" s="228">
        <v>55.42</v>
      </c>
      <c r="R79" s="231" t="s">
        <v>7</v>
      </c>
      <c r="S79" s="121">
        <f ca="1">IF($A79="S",IF($Q$10="Preço Unitário (R$)",PO.CustoUnitario,ROUND(PO.CustoUnitario*(1+$Z79),15-13*$X$6)),0)</f>
        <v>67.739999999999995</v>
      </c>
      <c r="T79" s="98">
        <f ca="1">IF($A79="S",VTOTAL1,IF($A79=0,0,ROUND(SomaAgrup,15-13*$X$7)))</f>
        <v>135.47999999999999</v>
      </c>
      <c r="U79" s="13" t="str">
        <f ca="1">IF($J79="","",IF($N79="","DESCRIÇÃO",IF(AND($J79="Serviço",$O79=""),"UNIDADE",IF($T79&lt;=0,"SEM VALOR",IF(AND($Y79&lt;&gt;"",$Q79&gt;$Y79),"ACIMA REF.","")))))</f>
        <v>ACIMA REF.</v>
      </c>
      <c r="V79" s="4" t="str">
        <f ca="1">IF(OR($A79=0,$A79="S",$A79&gt;CFF!$A$9),"",MAX(V$12:OFFSET(V79,-1,0))+1)</f>
        <v/>
      </c>
      <c r="W79" s="9" t="str">
        <f>IF(AND($J79="Serviço",$M79&lt;&gt;""),IF($L79="",$M79,CONCATENATE($L79,"-",$M79)))</f>
        <v>SINAPI-94492</v>
      </c>
      <c r="X79" s="4" t="e">
        <f ca="1">IF(AND(Fonte&lt;&gt;"",Código&lt;&gt;""),MATCH(Fonte&amp;" "&amp;IF(Fonte="sinapi",SUBSTITUTE(SUBSTITUTE(Código,"/00","/"),"/0","/"),Código),INDIRECT("'[Referência "&amp;_xlnm.Database&amp;".xls]Banco'!$a:$a"),0),"X")</f>
        <v>#REF!</v>
      </c>
      <c r="Y79" s="121">
        <f ca="1">IF(Import.Desoneracao="sim",Referencia.Desonerado,Referencia.NaoDesonerado)</f>
        <v>0</v>
      </c>
      <c r="Z79" s="132">
        <f ca="1">ROUND(IF(ISNUMBER(R79),R79,IF(LEFT(R79,3)="BDI",HLOOKUP(R79,DADOS!$T$37:$X$38,2,FALSE),0)),15-11*$X$5)</f>
        <v>0.2223</v>
      </c>
      <c r="AA79" s="4"/>
    </row>
    <row r="80" spans="1:27" x14ac:dyDescent="0.2">
      <c r="A80">
        <f t="shared" si="0"/>
        <v>1</v>
      </c>
      <c r="B80">
        <f t="shared" ca="1" si="1"/>
        <v>38</v>
      </c>
      <c r="C80">
        <f t="shared" ca="1" si="2"/>
        <v>4</v>
      </c>
      <c r="D80">
        <f t="shared" ca="1" si="3"/>
        <v>0</v>
      </c>
      <c r="E80">
        <f t="shared" ca="1" si="4"/>
        <v>0</v>
      </c>
      <c r="F80">
        <f t="shared" ca="1" si="5"/>
        <v>0</v>
      </c>
      <c r="G80">
        <f t="shared" ca="1" si="6"/>
        <v>0</v>
      </c>
      <c r="H80">
        <f t="shared" ca="1" si="51"/>
        <v>54</v>
      </c>
      <c r="I80">
        <f t="shared" ca="1" si="52"/>
        <v>38</v>
      </c>
      <c r="J80" s="120" t="s">
        <v>99</v>
      </c>
      <c r="K80" s="162" t="str">
        <f t="shared" ca="1" si="9"/>
        <v>4.</v>
      </c>
      <c r="L80" s="209" t="s">
        <v>238</v>
      </c>
      <c r="M80" s="209"/>
      <c r="N80" s="230" t="s">
        <v>292</v>
      </c>
      <c r="O80" s="229" t="str">
        <f ca="1">Referencia.Unidade</f>
        <v/>
      </c>
      <c r="P80" s="232"/>
      <c r="Q80" s="228"/>
      <c r="R80" s="231" t="s">
        <v>7</v>
      </c>
      <c r="S80" s="121">
        <f t="shared" si="10"/>
        <v>0</v>
      </c>
      <c r="T80" s="98">
        <f t="shared" ca="1" si="11"/>
        <v>130613.04</v>
      </c>
      <c r="U80" s="13" t="str">
        <f t="shared" ca="1" si="12"/>
        <v/>
      </c>
      <c r="V80" s="4">
        <f ca="1">IF(OR($A80=0,$A80="S",$A80&gt;CFF!$A$9),"",MAX(V$12:OFFSET(V80,-1,0))+1)</f>
        <v>9</v>
      </c>
      <c r="W80" s="9" t="b">
        <f t="shared" si="13"/>
        <v>0</v>
      </c>
      <c r="X80" s="4" t="str">
        <f t="shared" ca="1" si="14"/>
        <v>X</v>
      </c>
      <c r="Y80" s="121">
        <f t="shared" ca="1" si="15"/>
        <v>0</v>
      </c>
      <c r="Z80" s="132">
        <f ca="1">ROUND(IF(ISNUMBER(R80),R80,IF(LEFT(R80,3)="BDI",HLOOKUP(R80,DADOS!$T$37:$X$38,2,FALSE),0)),15-11*$X$5)</f>
        <v>0.2223</v>
      </c>
      <c r="AA80" s="4"/>
    </row>
    <row r="81" spans="1:27" x14ac:dyDescent="0.2">
      <c r="A81">
        <f t="shared" si="0"/>
        <v>2</v>
      </c>
      <c r="B81">
        <f t="shared" ca="1" si="1"/>
        <v>6</v>
      </c>
      <c r="C81">
        <f t="shared" ca="1" si="2"/>
        <v>4</v>
      </c>
      <c r="D81">
        <f t="shared" ca="1" si="3"/>
        <v>1</v>
      </c>
      <c r="E81">
        <f t="shared" ca="1" si="4"/>
        <v>0</v>
      </c>
      <c r="F81">
        <f t="shared" ca="1" si="5"/>
        <v>0</v>
      </c>
      <c r="G81">
        <f t="shared" ca="1" si="6"/>
        <v>0</v>
      </c>
      <c r="H81">
        <f t="shared" ca="1" si="51"/>
        <v>37</v>
      </c>
      <c r="I81">
        <f t="shared" ca="1" si="52"/>
        <v>6</v>
      </c>
      <c r="J81" s="120" t="s">
        <v>100</v>
      </c>
      <c r="K81" s="162" t="str">
        <f t="shared" ca="1" si="9"/>
        <v>4.1.</v>
      </c>
      <c r="L81" s="209" t="s">
        <v>238</v>
      </c>
      <c r="M81" s="209"/>
      <c r="N81" s="230" t="s">
        <v>248</v>
      </c>
      <c r="O81" s="229" t="str">
        <f ca="1">Referencia.Unidade</f>
        <v/>
      </c>
      <c r="P81" s="232"/>
      <c r="Q81" s="228"/>
      <c r="R81" s="231" t="s">
        <v>7</v>
      </c>
      <c r="S81" s="121">
        <f t="shared" si="10"/>
        <v>0</v>
      </c>
      <c r="T81" s="98">
        <f t="shared" ca="1" si="11"/>
        <v>22589.279999999999</v>
      </c>
      <c r="U81" s="13" t="str">
        <f t="shared" ca="1" si="12"/>
        <v/>
      </c>
      <c r="V81" s="4">
        <f ca="1">IF(OR($A81=0,$A81="S",$A81&gt;CFF!$A$9),"",MAX(V$12:OFFSET(V81,-1,0))+1)</f>
        <v>10</v>
      </c>
      <c r="W81" s="9" t="b">
        <f t="shared" si="13"/>
        <v>0</v>
      </c>
      <c r="X81" s="4" t="str">
        <f t="shared" ca="1" si="14"/>
        <v>X</v>
      </c>
      <c r="Y81" s="121">
        <f t="shared" ca="1" si="15"/>
        <v>0</v>
      </c>
      <c r="Z81" s="132">
        <f ca="1">ROUND(IF(ISNUMBER(R81),R81,IF(LEFT(R81,3)="BDI",HLOOKUP(R81,DADOS!$T$37:$X$38,2,FALSE),0)),15-11*$X$5)</f>
        <v>0.2223</v>
      </c>
      <c r="AA81" s="4"/>
    </row>
    <row r="82" spans="1:27" ht="25.5" x14ac:dyDescent="0.2">
      <c r="A82" t="str">
        <f>CHOOSE(1+LOG(1+2*(J82="Meta")+4*(J82="Nível 2")+8*(J82="Nível 3")+16*(J82="Nível 4")+32*(J82="Serviço"),2),0,1,2,3,4,"S")</f>
        <v>S</v>
      </c>
      <c r="B82">
        <f>IF(OR(A82="S",A82=0),0,IF(ISERROR(I82),H82,SMALL(H82:I82,1)))</f>
        <v>0</v>
      </c>
      <c r="C82">
        <f ca="1">IF($A82=1,OFFSET(C82,-1,0)+1,OFFSET(C82,-1,0))</f>
        <v>4</v>
      </c>
      <c r="D82">
        <f ca="1">IF($A82=1,0,IF($A82=2,OFFSET(D82,-1,0)+1,OFFSET(D82,-1,0)))</f>
        <v>1</v>
      </c>
      <c r="E82">
        <f ca="1">IF(AND($A82&lt;=2,$A82&lt;&gt;0),0,IF($A82=3,OFFSET(E82,-1,0)+1,OFFSET(E82,-1,0)))</f>
        <v>0</v>
      </c>
      <c r="F82">
        <f ca="1">IF(AND($A82&lt;=3,$A82&lt;&gt;0),0,IF($A82=4,OFFSET(F82,-1,0)+1,OFFSET(F82,-1,0)))</f>
        <v>0</v>
      </c>
      <c r="G82">
        <f ca="1">IF(AND($A82&lt;=4,$A82&lt;&gt;0),0,IF($A82="S",OFFSET(G82,-1,0)+1,OFFSET(G82,-1,0)))</f>
        <v>1</v>
      </c>
      <c r="H82">
        <f t="shared" ca="1" si="51"/>
        <v>0</v>
      </c>
      <c r="I82">
        <f t="shared" ca="1" si="52"/>
        <v>0</v>
      </c>
      <c r="J82" s="120" t="s">
        <v>103</v>
      </c>
      <c r="K82" s="162" t="str">
        <f ca="1">IF($A82=0,"-",CONCATENATE(C82&amp;".",IF(AND($A$5&gt;=2,$A82&gt;=2),D82&amp;".",""),IF(AND($A$5&gt;=3,$A82&gt;=3),E82&amp;".",""),IF(AND($A$5&gt;=4,$A82&gt;=4),F82&amp;".",""),IF($A82="S",G82&amp;".","")))</f>
        <v>4.1.1.</v>
      </c>
      <c r="L82" s="209" t="s">
        <v>238</v>
      </c>
      <c r="M82" s="209" t="s">
        <v>326</v>
      </c>
      <c r="N82" s="230" t="s">
        <v>327</v>
      </c>
      <c r="O82" s="229" t="s">
        <v>243</v>
      </c>
      <c r="P82" s="232">
        <v>57.78</v>
      </c>
      <c r="Q82" s="228">
        <v>73.69</v>
      </c>
      <c r="R82" s="231" t="s">
        <v>7</v>
      </c>
      <c r="S82" s="121">
        <f ca="1">IF($A82="S",IF($Q$10="Preço Unitário (R$)",PO.CustoUnitario,ROUND(PO.CustoUnitario*(1+$Z82),15-13*$X$6)),0)</f>
        <v>90.07</v>
      </c>
      <c r="T82" s="98">
        <f ca="1">IF($A82="S",VTOTAL1,IF($A82=0,0,ROUND(SomaAgrup,15-13*$X$7)))</f>
        <v>5204.24</v>
      </c>
      <c r="U82" s="13" t="str">
        <f ca="1">IF($J82="","",IF($N82="","DESCRIÇÃO",IF(AND($J82="Serviço",$O82=""),"UNIDADE",IF($T82&lt;=0,"SEM VALOR",IF(AND($Y82&lt;&gt;"",$Q82&gt;$Y82),"ACIMA REF.","")))))</f>
        <v>ACIMA REF.</v>
      </c>
      <c r="V82" s="4" t="str">
        <f ca="1">IF(OR($A82=0,$A82="S",$A82&gt;CFF!$A$9),"",MAX(V$12:OFFSET(V82,-1,0))+1)</f>
        <v/>
      </c>
      <c r="W82" s="9" t="str">
        <f>IF(AND($J82="Serviço",$M82&lt;&gt;""),IF($L82="",$M82,CONCATENATE($L82,"-",$M82)))</f>
        <v>SINAPI-98546</v>
      </c>
      <c r="X82" s="4" t="e">
        <f ca="1">IF(AND(Fonte&lt;&gt;"",Código&lt;&gt;""),MATCH(Fonte&amp;" "&amp;IF(Fonte="sinapi",SUBSTITUTE(SUBSTITUTE(Código,"/00","/"),"/0","/"),Código),INDIRECT("'[Referência "&amp;_xlnm.Database&amp;".xls]Banco'!$a:$a"),0),"X")</f>
        <v>#REF!</v>
      </c>
      <c r="Y82" s="121">
        <f ca="1">IF(Import.Desoneracao="sim",Referencia.Desonerado,Referencia.NaoDesonerado)</f>
        <v>0</v>
      </c>
      <c r="Z82" s="132">
        <f ca="1">ROUND(IF(ISNUMBER(R82),R82,IF(LEFT(R82,3)="BDI",HLOOKUP(R82,DADOS!$T$37:$X$38,2,FALSE),0)),15-11*$X$5)</f>
        <v>0.2223</v>
      </c>
      <c r="AA82" s="4"/>
    </row>
    <row r="83" spans="1:27" ht="38.25" x14ac:dyDescent="0.2">
      <c r="A83" t="str">
        <f t="shared" si="0"/>
        <v>S</v>
      </c>
      <c r="B83">
        <f t="shared" si="1"/>
        <v>0</v>
      </c>
      <c r="C83">
        <f t="shared" ca="1" si="2"/>
        <v>4</v>
      </c>
      <c r="D83">
        <f t="shared" ca="1" si="3"/>
        <v>1</v>
      </c>
      <c r="E83">
        <f t="shared" ca="1" si="4"/>
        <v>0</v>
      </c>
      <c r="F83">
        <f t="shared" ca="1" si="5"/>
        <v>0</v>
      </c>
      <c r="G83">
        <f t="shared" ca="1" si="6"/>
        <v>2</v>
      </c>
      <c r="H83">
        <f t="shared" ca="1" si="51"/>
        <v>0</v>
      </c>
      <c r="I83">
        <f t="shared" ca="1" si="52"/>
        <v>0</v>
      </c>
      <c r="J83" s="120" t="s">
        <v>103</v>
      </c>
      <c r="K83" s="162" t="str">
        <f t="shared" ca="1" si="9"/>
        <v>4.1.2.</v>
      </c>
      <c r="L83" s="209" t="s">
        <v>238</v>
      </c>
      <c r="M83" s="209" t="s">
        <v>293</v>
      </c>
      <c r="N83" s="230" t="s">
        <v>328</v>
      </c>
      <c r="O83" s="229" t="s">
        <v>243</v>
      </c>
      <c r="P83" s="232">
        <v>67.08</v>
      </c>
      <c r="Q83" s="228">
        <v>42.14</v>
      </c>
      <c r="R83" s="231" t="s">
        <v>7</v>
      </c>
      <c r="S83" s="121">
        <f t="shared" ca="1" si="10"/>
        <v>51.51</v>
      </c>
      <c r="T83" s="98">
        <f t="shared" ca="1" si="11"/>
        <v>3455.29</v>
      </c>
      <c r="U83" s="13" t="str">
        <f t="shared" ca="1" si="12"/>
        <v>ACIMA REF.</v>
      </c>
      <c r="V83" s="4" t="str">
        <f ca="1">IF(OR($A83=0,$A83="S",$A83&gt;CFF!$A$9),"",MAX(V$12:OFFSET(V83,-1,0))+1)</f>
        <v/>
      </c>
      <c r="W83" s="9" t="str">
        <f t="shared" si="13"/>
        <v>SINAPI-87765</v>
      </c>
      <c r="X83" s="4" t="e">
        <f t="shared" ca="1" si="14"/>
        <v>#REF!</v>
      </c>
      <c r="Y83" s="121">
        <f t="shared" ca="1" si="15"/>
        <v>0</v>
      </c>
      <c r="Z83" s="132">
        <f ca="1">ROUND(IF(ISNUMBER(R83),R83,IF(LEFT(R83,3)="BDI",HLOOKUP(R83,DADOS!$T$37:$X$38,2,FALSE),0)),15-11*$X$5)</f>
        <v>0.2223</v>
      </c>
      <c r="AA83" s="4"/>
    </row>
    <row r="84" spans="1:27" ht="25.5" x14ac:dyDescent="0.2">
      <c r="A84" t="str">
        <f t="shared" si="0"/>
        <v>S</v>
      </c>
      <c r="B84">
        <f t="shared" si="1"/>
        <v>0</v>
      </c>
      <c r="C84">
        <f t="shared" ca="1" si="2"/>
        <v>4</v>
      </c>
      <c r="D84">
        <f t="shared" ca="1" si="3"/>
        <v>1</v>
      </c>
      <c r="E84">
        <f t="shared" ca="1" si="4"/>
        <v>0</v>
      </c>
      <c r="F84">
        <f t="shared" ca="1" si="5"/>
        <v>0</v>
      </c>
      <c r="G84">
        <f t="shared" ca="1" si="6"/>
        <v>3</v>
      </c>
      <c r="H84">
        <f t="shared" ca="1" si="51"/>
        <v>0</v>
      </c>
      <c r="I84">
        <f t="shared" ca="1" si="52"/>
        <v>0</v>
      </c>
      <c r="J84" s="120" t="s">
        <v>103</v>
      </c>
      <c r="K84" s="162" t="str">
        <f t="shared" ca="1" si="9"/>
        <v>4.1.3.</v>
      </c>
      <c r="L84" s="209" t="s">
        <v>238</v>
      </c>
      <c r="M84" s="209" t="s">
        <v>272</v>
      </c>
      <c r="N84" s="230" t="s">
        <v>315</v>
      </c>
      <c r="O84" s="229" t="s">
        <v>243</v>
      </c>
      <c r="P84" s="232">
        <v>67.08</v>
      </c>
      <c r="Q84" s="228">
        <v>74.94</v>
      </c>
      <c r="R84" s="231" t="s">
        <v>7</v>
      </c>
      <c r="S84" s="121">
        <f t="shared" ca="1" si="10"/>
        <v>91.6</v>
      </c>
      <c r="T84" s="98">
        <f t="shared" ca="1" si="11"/>
        <v>6144.53</v>
      </c>
      <c r="U84" s="13" t="str">
        <f t="shared" ca="1" si="12"/>
        <v>ACIMA REF.</v>
      </c>
      <c r="V84" s="4" t="str">
        <f ca="1">IF(OR($A84=0,$A84="S",$A84&gt;CFF!$A$9),"",MAX(V$12:OFFSET(V84,-1,0))+1)</f>
        <v/>
      </c>
      <c r="W84" s="9" t="str">
        <f t="shared" si="13"/>
        <v>SINAPI-87260</v>
      </c>
      <c r="X84" s="4" t="e">
        <f t="shared" ca="1" si="14"/>
        <v>#REF!</v>
      </c>
      <c r="Y84" s="121">
        <f t="shared" ca="1" si="15"/>
        <v>0</v>
      </c>
      <c r="Z84" s="132">
        <f ca="1">ROUND(IF(ISNUMBER(R84),R84,IF(LEFT(R84,3)="BDI",HLOOKUP(R84,DADOS!$T$37:$X$38,2,FALSE),0)),15-11*$X$5)</f>
        <v>0.2223</v>
      </c>
      <c r="AA84" s="4"/>
    </row>
    <row r="85" spans="1:27" x14ac:dyDescent="0.2">
      <c r="A85" t="str">
        <f t="shared" si="0"/>
        <v>S</v>
      </c>
      <c r="B85">
        <f t="shared" si="1"/>
        <v>0</v>
      </c>
      <c r="C85">
        <f t="shared" ca="1" si="2"/>
        <v>4</v>
      </c>
      <c r="D85">
        <f t="shared" ca="1" si="3"/>
        <v>1</v>
      </c>
      <c r="E85">
        <f t="shared" ca="1" si="4"/>
        <v>0</v>
      </c>
      <c r="F85">
        <f t="shared" ca="1" si="5"/>
        <v>0</v>
      </c>
      <c r="G85">
        <f t="shared" ca="1" si="6"/>
        <v>4</v>
      </c>
      <c r="H85">
        <f t="shared" ca="1" si="51"/>
        <v>0</v>
      </c>
      <c r="I85">
        <f t="shared" ca="1" si="52"/>
        <v>0</v>
      </c>
      <c r="J85" s="120" t="s">
        <v>103</v>
      </c>
      <c r="K85" s="162" t="str">
        <f t="shared" ca="1" si="9"/>
        <v>4.1.4.</v>
      </c>
      <c r="L85" s="209" t="s">
        <v>238</v>
      </c>
      <c r="M85" s="209" t="s">
        <v>273</v>
      </c>
      <c r="N85" s="230" t="s">
        <v>329</v>
      </c>
      <c r="O85" s="229" t="s">
        <v>244</v>
      </c>
      <c r="P85" s="232">
        <v>2</v>
      </c>
      <c r="Q85" s="228">
        <v>1997.15</v>
      </c>
      <c r="R85" s="231" t="s">
        <v>7</v>
      </c>
      <c r="S85" s="121">
        <f t="shared" ca="1" si="10"/>
        <v>2441.12</v>
      </c>
      <c r="T85" s="98">
        <f t="shared" ca="1" si="11"/>
        <v>4882.24</v>
      </c>
      <c r="U85" s="13" t="str">
        <f t="shared" ca="1" si="12"/>
        <v>ACIMA REF.</v>
      </c>
      <c r="V85" s="4" t="str">
        <f ca="1">IF(OR($A85=0,$A85="S",$A85&gt;CFF!$A$9),"",MAX(V$12:OFFSET(V85,-1,0))+1)</f>
        <v/>
      </c>
      <c r="W85" s="9" t="str">
        <f t="shared" si="13"/>
        <v>SINAPI-95969</v>
      </c>
      <c r="X85" s="4" t="e">
        <f t="shared" ca="1" si="14"/>
        <v>#REF!</v>
      </c>
      <c r="Y85" s="121">
        <f t="shared" ca="1" si="15"/>
        <v>0</v>
      </c>
      <c r="Z85" s="132">
        <f ca="1">ROUND(IF(ISNUMBER(R85),R85,IF(LEFT(R85,3)="BDI",HLOOKUP(R85,DADOS!$T$37:$X$38,2,FALSE),0)),15-11*$X$5)</f>
        <v>0.2223</v>
      </c>
      <c r="AA85" s="4"/>
    </row>
    <row r="86" spans="1:27" x14ac:dyDescent="0.2">
      <c r="A86" t="str">
        <f>CHOOSE(1+LOG(1+2*(J86="Meta")+4*(J86="Nível 2")+8*(J86="Nível 3")+16*(J86="Nível 4")+32*(J86="Serviço"),2),0,1,2,3,4,"S")</f>
        <v>S</v>
      </c>
      <c r="B86">
        <f>IF(OR(A86="S",A86=0),0,IF(ISERROR(I86),H86,SMALL(H86:I86,1)))</f>
        <v>0</v>
      </c>
      <c r="C86">
        <f ca="1">IF($A86=1,OFFSET(C86,-1,0)+1,OFFSET(C86,-1,0))</f>
        <v>4</v>
      </c>
      <c r="D86">
        <f ca="1">IF($A86=1,0,IF($A86=2,OFFSET(D86,-1,0)+1,OFFSET(D86,-1,0)))</f>
        <v>1</v>
      </c>
      <c r="E86">
        <f ca="1">IF(AND($A86&lt;=2,$A86&lt;&gt;0),0,IF($A86=3,OFFSET(E86,-1,0)+1,OFFSET(E86,-1,0)))</f>
        <v>0</v>
      </c>
      <c r="F86">
        <f ca="1">IF(AND($A86&lt;=3,$A86&lt;&gt;0),0,IF($A86=4,OFFSET(F86,-1,0)+1,OFFSET(F86,-1,0)))</f>
        <v>0</v>
      </c>
      <c r="G86">
        <f ca="1">IF(AND($A86&lt;=4,$A86&lt;&gt;0),0,IF($A86="S",OFFSET(G86,-1,0)+1,OFFSET(G86,-1,0)))</f>
        <v>5</v>
      </c>
      <c r="H86">
        <f t="shared" ca="1" si="51"/>
        <v>0</v>
      </c>
      <c r="I86">
        <f t="shared" ca="1" si="52"/>
        <v>0</v>
      </c>
      <c r="J86" s="120" t="s">
        <v>103</v>
      </c>
      <c r="K86" s="162" t="str">
        <f ca="1">IF($A86=0,"-",CONCATENATE(C86&amp;".",IF(AND($A$5&gt;=2,$A86&gt;=2),D86&amp;".",""),IF(AND($A$5&gt;=3,$A86&gt;=3),E86&amp;".",""),IF(AND($A$5&gt;=4,$A86&gt;=4),F86&amp;".",""),IF($A86="S",G86&amp;".","")))</f>
        <v>4.1.5.</v>
      </c>
      <c r="L86" s="209" t="s">
        <v>353</v>
      </c>
      <c r="M86" s="209" t="s">
        <v>374</v>
      </c>
      <c r="N86" s="230" t="s">
        <v>381</v>
      </c>
      <c r="O86" s="229" t="s">
        <v>244</v>
      </c>
      <c r="P86" s="232">
        <v>3.85</v>
      </c>
      <c r="Q86" s="228">
        <v>616.89</v>
      </c>
      <c r="R86" s="231" t="s">
        <v>7</v>
      </c>
      <c r="S86" s="121">
        <f ca="1">IF($A86="S",IF($Q$10="Preço Unitário (R$)",PO.CustoUnitario,ROUND(PO.CustoUnitario*(1+$Z86),15-13*$X$6)),0)</f>
        <v>754.02</v>
      </c>
      <c r="T86" s="98">
        <f ca="1">IF($A86="S",VTOTAL1,IF($A86=0,0,ROUND(SomaAgrup,15-13*$X$7)))</f>
        <v>2902.98</v>
      </c>
      <c r="U86" s="13" t="str">
        <f ca="1">IF($J86="","",IF($N86="","DESCRIÇÃO",IF(AND($J86="Serviço",$O86=""),"UNIDADE",IF($T86&lt;=0,"SEM VALOR",IF(AND($Y86&lt;&gt;"",$Q86&gt;$Y86),"ACIMA REF.","")))))</f>
        <v>ACIMA REF.</v>
      </c>
      <c r="V86" s="4" t="str">
        <f ca="1">IF(OR($A86=0,$A86="S",$A86&gt;CFF!$A$9),"",MAX(V$12:OFFSET(V86,-1,0))+1)</f>
        <v/>
      </c>
      <c r="W86" s="9" t="str">
        <f>IF(AND($J86="Serviço",$M86&lt;&gt;""),IF($L86="",$M86,CONCATENATE($L86,"-",$M86)))</f>
        <v>PRÓPRIA-0004</v>
      </c>
      <c r="X86" s="4" t="e">
        <f ca="1">IF(AND(Fonte&lt;&gt;"",Código&lt;&gt;""),MATCH(Fonte&amp;" "&amp;IF(Fonte="sinapi",SUBSTITUTE(SUBSTITUTE(Código,"/00","/"),"/0","/"),Código),INDIRECT("'[Referência "&amp;_xlnm.Database&amp;".xls]Banco'!$a:$a"),0),"X")</f>
        <v>#REF!</v>
      </c>
      <c r="Y86" s="121">
        <f ca="1">IF(Import.Desoneracao="sim",Referencia.Desonerado,Referencia.NaoDesonerado)</f>
        <v>0</v>
      </c>
      <c r="Z86" s="132">
        <f ca="1">ROUND(IF(ISNUMBER(R86),R86,IF(LEFT(R86,3)="BDI",HLOOKUP(R86,DADOS!$T$37:$X$38,2,FALSE),0)),15-11*$X$5)</f>
        <v>0.2223</v>
      </c>
      <c r="AA86" s="4"/>
    </row>
    <row r="87" spans="1:27" x14ac:dyDescent="0.2">
      <c r="A87">
        <f t="shared" si="0"/>
        <v>2</v>
      </c>
      <c r="B87">
        <f t="shared" ca="1" si="1"/>
        <v>4</v>
      </c>
      <c r="C87">
        <f t="shared" ca="1" si="2"/>
        <v>4</v>
      </c>
      <c r="D87">
        <f t="shared" ca="1" si="3"/>
        <v>2</v>
      </c>
      <c r="E87">
        <f t="shared" ca="1" si="4"/>
        <v>0</v>
      </c>
      <c r="F87">
        <f t="shared" ca="1" si="5"/>
        <v>0</v>
      </c>
      <c r="G87">
        <f t="shared" ca="1" si="6"/>
        <v>0</v>
      </c>
      <c r="H87">
        <f t="shared" ca="1" si="51"/>
        <v>31</v>
      </c>
      <c r="I87">
        <f t="shared" ca="1" si="52"/>
        <v>4</v>
      </c>
      <c r="J87" s="120" t="s">
        <v>100</v>
      </c>
      <c r="K87" s="162" t="str">
        <f t="shared" ca="1" si="9"/>
        <v>4.2.</v>
      </c>
      <c r="L87" s="209" t="s">
        <v>238</v>
      </c>
      <c r="M87" s="209"/>
      <c r="N87" s="230" t="s">
        <v>274</v>
      </c>
      <c r="O87" s="229" t="str">
        <f ca="1">Referencia.Unidade</f>
        <v/>
      </c>
      <c r="P87" s="232"/>
      <c r="Q87" s="228"/>
      <c r="R87" s="231" t="s">
        <v>7</v>
      </c>
      <c r="S87" s="121">
        <f t="shared" si="10"/>
        <v>0</v>
      </c>
      <c r="T87" s="98">
        <f t="shared" ca="1" si="11"/>
        <v>21077.64</v>
      </c>
      <c r="U87" s="13" t="str">
        <f t="shared" ca="1" si="12"/>
        <v/>
      </c>
      <c r="V87" s="4">
        <f ca="1">IF(OR($A87=0,$A87="S",$A87&gt;CFF!$A$9),"",MAX(V$12:OFFSET(V87,-1,0))+1)</f>
        <v>11</v>
      </c>
      <c r="W87" s="9" t="b">
        <f t="shared" si="13"/>
        <v>0</v>
      </c>
      <c r="X87" s="4" t="str">
        <f t="shared" ca="1" si="14"/>
        <v>X</v>
      </c>
      <c r="Y87" s="121">
        <f t="shared" ca="1" si="15"/>
        <v>0</v>
      </c>
      <c r="Z87" s="132">
        <f ca="1">ROUND(IF(ISNUMBER(R87),R87,IF(LEFT(R87,3)="BDI",HLOOKUP(R87,DADOS!$T$37:$X$38,2,FALSE),0)),15-11*$X$5)</f>
        <v>0.2223</v>
      </c>
      <c r="AA87" s="4"/>
    </row>
    <row r="88" spans="1:27" ht="25.5" x14ac:dyDescent="0.2">
      <c r="A88" t="str">
        <f t="shared" si="0"/>
        <v>S</v>
      </c>
      <c r="B88">
        <f t="shared" si="1"/>
        <v>0</v>
      </c>
      <c r="C88">
        <f t="shared" ca="1" si="2"/>
        <v>4</v>
      </c>
      <c r="D88">
        <f t="shared" ca="1" si="3"/>
        <v>2</v>
      </c>
      <c r="E88">
        <f t="shared" ca="1" si="4"/>
        <v>0</v>
      </c>
      <c r="F88">
        <f t="shared" ca="1" si="5"/>
        <v>0</v>
      </c>
      <c r="G88">
        <f t="shared" ca="1" si="6"/>
        <v>1</v>
      </c>
      <c r="H88">
        <f t="shared" ca="1" si="51"/>
        <v>0</v>
      </c>
      <c r="I88">
        <f t="shared" ca="1" si="52"/>
        <v>0</v>
      </c>
      <c r="J88" s="120" t="s">
        <v>103</v>
      </c>
      <c r="K88" s="162" t="str">
        <f t="shared" ca="1" si="9"/>
        <v>4.2.1.</v>
      </c>
      <c r="L88" s="209" t="s">
        <v>238</v>
      </c>
      <c r="M88" s="209" t="s">
        <v>275</v>
      </c>
      <c r="N88" s="230" t="s">
        <v>316</v>
      </c>
      <c r="O88" s="229" t="s">
        <v>243</v>
      </c>
      <c r="P88" s="232">
        <v>215.65</v>
      </c>
      <c r="Q88" s="228">
        <v>3.03</v>
      </c>
      <c r="R88" s="231" t="s">
        <v>7</v>
      </c>
      <c r="S88" s="121">
        <f t="shared" ca="1" si="10"/>
        <v>3.7</v>
      </c>
      <c r="T88" s="98">
        <f t="shared" ca="1" si="11"/>
        <v>797.91</v>
      </c>
      <c r="U88" s="13" t="str">
        <f t="shared" ca="1" si="12"/>
        <v>ACIMA REF.</v>
      </c>
      <c r="V88" s="4" t="str">
        <f ca="1">IF(OR($A88=0,$A88="S",$A88&gt;CFF!$A$9),"",MAX(V$12:OFFSET(V88,-1,0))+1)</f>
        <v/>
      </c>
      <c r="W88" s="9" t="str">
        <f t="shared" si="13"/>
        <v>SINAPI-87879</v>
      </c>
      <c r="X88" s="4" t="e">
        <f t="shared" ca="1" si="14"/>
        <v>#REF!</v>
      </c>
      <c r="Y88" s="121">
        <f t="shared" ca="1" si="15"/>
        <v>0</v>
      </c>
      <c r="Z88" s="132">
        <f ca="1">ROUND(IF(ISNUMBER(R88),R88,IF(LEFT(R88,3)="BDI",HLOOKUP(R88,DADOS!$T$37:$X$38,2,FALSE),0)),15-11*$X$5)</f>
        <v>0.2223</v>
      </c>
      <c r="AA88" s="4"/>
    </row>
    <row r="89" spans="1:27" ht="51" x14ac:dyDescent="0.2">
      <c r="A89" t="str">
        <f>CHOOSE(1+LOG(1+2*(J89="Meta")+4*(J89="Nível 2")+8*(J89="Nível 3")+16*(J89="Nível 4")+32*(J89="Serviço"),2),0,1,2,3,4,"S")</f>
        <v>S</v>
      </c>
      <c r="B89">
        <f>IF(OR(A89="S",A89=0),0,IF(ISERROR(I89),H89,SMALL(H89:I89,1)))</f>
        <v>0</v>
      </c>
      <c r="C89">
        <f ca="1">IF($A89=1,OFFSET(C89,-1,0)+1,OFFSET(C89,-1,0))</f>
        <v>4</v>
      </c>
      <c r="D89">
        <f ca="1">IF($A89=1,0,IF($A89=2,OFFSET(D89,-1,0)+1,OFFSET(D89,-1,0)))</f>
        <v>2</v>
      </c>
      <c r="E89">
        <f ca="1">IF(AND($A89&lt;=2,$A89&lt;&gt;0),0,IF($A89=3,OFFSET(E89,-1,0)+1,OFFSET(E89,-1,0)))</f>
        <v>0</v>
      </c>
      <c r="F89">
        <f ca="1">IF(AND($A89&lt;=3,$A89&lt;&gt;0),0,IF($A89=4,OFFSET(F89,-1,0)+1,OFFSET(F89,-1,0)))</f>
        <v>0</v>
      </c>
      <c r="G89">
        <f ca="1">IF(AND($A89&lt;=4,$A89&lt;&gt;0),0,IF($A89="S",OFFSET(G89,-1,0)+1,OFFSET(G89,-1,0)))</f>
        <v>2</v>
      </c>
      <c r="H89">
        <f t="shared" ca="1" si="51"/>
        <v>0</v>
      </c>
      <c r="I89">
        <f t="shared" ca="1" si="52"/>
        <v>0</v>
      </c>
      <c r="J89" s="120" t="s">
        <v>103</v>
      </c>
      <c r="K89" s="162" t="str">
        <f ca="1">IF($A89=0,"-",CONCATENATE(C89&amp;".",IF(AND($A$5&gt;=2,$A89&gt;=2),D89&amp;".",""),IF(AND($A$5&gt;=3,$A89&gt;=3),E89&amp;".",""),IF(AND($A$5&gt;=4,$A89&gt;=4),F89&amp;".",""),IF($A89="S",G89&amp;".","")))</f>
        <v>4.2.2.</v>
      </c>
      <c r="L89" s="209" t="s">
        <v>238</v>
      </c>
      <c r="M89" s="209" t="s">
        <v>358</v>
      </c>
      <c r="N89" s="230" t="s">
        <v>410</v>
      </c>
      <c r="O89" s="229" t="s">
        <v>243</v>
      </c>
      <c r="P89" s="232">
        <v>215.65</v>
      </c>
      <c r="Q89" s="228">
        <v>22.58</v>
      </c>
      <c r="R89" s="231" t="s">
        <v>7</v>
      </c>
      <c r="S89" s="121">
        <f ca="1">IF($A89="S",IF($Q$10="Preço Unitário (R$)",PO.CustoUnitario,ROUND(PO.CustoUnitario*(1+$Z89),15-13*$X$6)),0)</f>
        <v>27.6</v>
      </c>
      <c r="T89" s="98">
        <f ca="1">IF($A89="S",VTOTAL1,IF($A89=0,0,ROUND(SomaAgrup,15-13*$X$7)))</f>
        <v>5951.94</v>
      </c>
      <c r="U89" s="13" t="str">
        <f ca="1">IF($J89="","",IF($N89="","DESCRIÇÃO",IF(AND($J89="Serviço",$O89=""),"UNIDADE",IF($T89&lt;=0,"SEM VALOR",IF(AND($Y89&lt;&gt;"",$Q89&gt;$Y89),"ACIMA REF.","")))))</f>
        <v>ACIMA REF.</v>
      </c>
      <c r="V89" s="4" t="str">
        <f ca="1">IF(OR($A89=0,$A89="S",$A89&gt;CFF!$A$9),"",MAX(V$12:OFFSET(V89,-1,0))+1)</f>
        <v/>
      </c>
      <c r="W89" s="9" t="str">
        <f>IF(AND($J89="Serviço",$M89&lt;&gt;""),IF($L89="",$M89,CONCATENATE($L89,"-",$M89)))</f>
        <v>SINAPI-87535</v>
      </c>
      <c r="X89" s="4" t="e">
        <f ca="1">IF(AND(Fonte&lt;&gt;"",Código&lt;&gt;""),MATCH(Fonte&amp;" "&amp;IF(Fonte="sinapi",SUBSTITUTE(SUBSTITUTE(Código,"/00","/"),"/0","/"),Código),INDIRECT("'[Referência "&amp;_xlnm.Database&amp;".xls]Banco'!$a:$a"),0),"X")</f>
        <v>#REF!</v>
      </c>
      <c r="Y89" s="121">
        <f ca="1">IF(Import.Desoneracao="sim",Referencia.Desonerado,Referencia.NaoDesonerado)</f>
        <v>0</v>
      </c>
      <c r="Z89" s="132">
        <f ca="1">ROUND(IF(ISNUMBER(R89),R89,IF(LEFT(R89,3)="BDI",HLOOKUP(R89,DADOS!$T$37:$X$38,2,FALSE),0)),15-11*$X$5)</f>
        <v>0.2223</v>
      </c>
      <c r="AA89" s="4"/>
    </row>
    <row r="90" spans="1:27" ht="25.5" x14ac:dyDescent="0.2">
      <c r="A90" t="str">
        <f t="shared" si="0"/>
        <v>S</v>
      </c>
      <c r="B90">
        <f t="shared" si="1"/>
        <v>0</v>
      </c>
      <c r="C90">
        <f t="shared" ca="1" si="2"/>
        <v>4</v>
      </c>
      <c r="D90">
        <f t="shared" ca="1" si="3"/>
        <v>2</v>
      </c>
      <c r="E90">
        <f t="shared" ca="1" si="4"/>
        <v>0</v>
      </c>
      <c r="F90">
        <f t="shared" ca="1" si="5"/>
        <v>0</v>
      </c>
      <c r="G90">
        <f t="shared" ca="1" si="6"/>
        <v>3</v>
      </c>
      <c r="H90">
        <f t="shared" ca="1" si="51"/>
        <v>0</v>
      </c>
      <c r="I90">
        <f t="shared" ca="1" si="52"/>
        <v>0</v>
      </c>
      <c r="J90" s="120" t="s">
        <v>103</v>
      </c>
      <c r="K90" s="162" t="str">
        <f t="shared" ca="1" si="9"/>
        <v>4.2.3.</v>
      </c>
      <c r="L90" s="209" t="s">
        <v>238</v>
      </c>
      <c r="M90" s="209" t="s">
        <v>276</v>
      </c>
      <c r="N90" s="230" t="s">
        <v>317</v>
      </c>
      <c r="O90" s="229" t="s">
        <v>243</v>
      </c>
      <c r="P90" s="232">
        <v>215.65</v>
      </c>
      <c r="Q90" s="228">
        <v>54.36</v>
      </c>
      <c r="R90" s="231" t="s">
        <v>7</v>
      </c>
      <c r="S90" s="121">
        <f t="shared" ca="1" si="10"/>
        <v>66.44</v>
      </c>
      <c r="T90" s="98">
        <f t="shared" ca="1" si="11"/>
        <v>14327.79</v>
      </c>
      <c r="U90" s="13" t="str">
        <f t="shared" ca="1" si="12"/>
        <v>ACIMA REF.</v>
      </c>
      <c r="V90" s="4" t="str">
        <f ca="1">IF(OR($A90=0,$A90="S",$A90&gt;CFF!$A$9),"",MAX(V$12:OFFSET(V90,-1,0))+1)</f>
        <v/>
      </c>
      <c r="W90" s="9" t="str">
        <f t="shared" si="13"/>
        <v>SINAPI-87273</v>
      </c>
      <c r="X90" s="4" t="e">
        <f t="shared" ca="1" si="14"/>
        <v>#REF!</v>
      </c>
      <c r="Y90" s="121">
        <f t="shared" ca="1" si="15"/>
        <v>0</v>
      </c>
      <c r="Z90" s="132">
        <f ca="1">ROUND(IF(ISNUMBER(R90),R90,IF(LEFT(R90,3)="BDI",HLOOKUP(R90,DADOS!$T$37:$X$38,2,FALSE),0)),15-11*$X$5)</f>
        <v>0.2223</v>
      </c>
      <c r="AA90" s="4"/>
    </row>
    <row r="91" spans="1:27" x14ac:dyDescent="0.2">
      <c r="A91">
        <f t="shared" si="0"/>
        <v>2</v>
      </c>
      <c r="B91">
        <f t="shared" ca="1" si="1"/>
        <v>7</v>
      </c>
      <c r="C91">
        <f t="shared" ca="1" si="2"/>
        <v>4</v>
      </c>
      <c r="D91">
        <f t="shared" ca="1" si="3"/>
        <v>3</v>
      </c>
      <c r="E91">
        <f t="shared" ca="1" si="4"/>
        <v>0</v>
      </c>
      <c r="F91">
        <f t="shared" ca="1" si="5"/>
        <v>0</v>
      </c>
      <c r="G91">
        <f t="shared" ca="1" si="6"/>
        <v>0</v>
      </c>
      <c r="H91">
        <f t="shared" ca="1" si="51"/>
        <v>27</v>
      </c>
      <c r="I91">
        <f t="shared" ca="1" si="52"/>
        <v>7</v>
      </c>
      <c r="J91" s="120" t="s">
        <v>100</v>
      </c>
      <c r="K91" s="162" t="str">
        <f t="shared" ca="1" si="9"/>
        <v>4.3.</v>
      </c>
      <c r="L91" s="209" t="s">
        <v>238</v>
      </c>
      <c r="M91" s="209"/>
      <c r="N91" s="230" t="s">
        <v>294</v>
      </c>
      <c r="O91" s="229" t="str">
        <f ca="1">Referencia.Unidade</f>
        <v/>
      </c>
      <c r="P91" s="232"/>
      <c r="Q91" s="228"/>
      <c r="R91" s="231" t="s">
        <v>7</v>
      </c>
      <c r="S91" s="121">
        <f t="shared" si="10"/>
        <v>0</v>
      </c>
      <c r="T91" s="98">
        <f t="shared" ca="1" si="11"/>
        <v>48378.74</v>
      </c>
      <c r="U91" s="13" t="str">
        <f t="shared" ca="1" si="12"/>
        <v/>
      </c>
      <c r="V91" s="4">
        <f ca="1">IF(OR($A91=0,$A91="S",$A91&gt;CFF!$A$9),"",MAX(V$12:OFFSET(V91,-1,0))+1)</f>
        <v>12</v>
      </c>
      <c r="W91" s="9" t="b">
        <f t="shared" si="13"/>
        <v>0</v>
      </c>
      <c r="X91" s="4" t="str">
        <f t="shared" ca="1" si="14"/>
        <v>X</v>
      </c>
      <c r="Y91" s="121">
        <f t="shared" ca="1" si="15"/>
        <v>0</v>
      </c>
      <c r="Z91" s="132">
        <f ca="1">ROUND(IF(ISNUMBER(R91),R91,IF(LEFT(R91,3)="BDI",HLOOKUP(R91,DADOS!$T$37:$X$38,2,FALSE),0)),15-11*$X$5)</f>
        <v>0.2223</v>
      </c>
      <c r="AA91" s="4"/>
    </row>
    <row r="92" spans="1:27" ht="25.5" x14ac:dyDescent="0.2">
      <c r="A92" t="str">
        <f t="shared" si="0"/>
        <v>S</v>
      </c>
      <c r="B92">
        <f t="shared" si="1"/>
        <v>0</v>
      </c>
      <c r="C92">
        <f t="shared" ca="1" si="2"/>
        <v>4</v>
      </c>
      <c r="D92">
        <f t="shared" ca="1" si="3"/>
        <v>3</v>
      </c>
      <c r="E92">
        <f t="shared" ca="1" si="4"/>
        <v>0</v>
      </c>
      <c r="F92">
        <f t="shared" ca="1" si="5"/>
        <v>0</v>
      </c>
      <c r="G92">
        <f t="shared" ca="1" si="6"/>
        <v>1</v>
      </c>
      <c r="H92">
        <f t="shared" ca="1" si="51"/>
        <v>0</v>
      </c>
      <c r="I92">
        <f t="shared" ca="1" si="52"/>
        <v>0</v>
      </c>
      <c r="J92" s="120" t="s">
        <v>103</v>
      </c>
      <c r="K92" s="162" t="str">
        <f t="shared" ca="1" si="9"/>
        <v>4.3.1.</v>
      </c>
      <c r="L92" s="209" t="s">
        <v>359</v>
      </c>
      <c r="M92" s="209" t="s">
        <v>46</v>
      </c>
      <c r="N92" s="230" t="s">
        <v>304</v>
      </c>
      <c r="O92" s="229" t="s">
        <v>242</v>
      </c>
      <c r="P92" s="232">
        <v>29.16</v>
      </c>
      <c r="Q92" s="228">
        <v>552.07000000000005</v>
      </c>
      <c r="R92" s="231" t="s">
        <v>7</v>
      </c>
      <c r="S92" s="121">
        <f t="shared" ca="1" si="10"/>
        <v>674.8</v>
      </c>
      <c r="T92" s="98">
        <f t="shared" ca="1" si="11"/>
        <v>19677.169999999998</v>
      </c>
      <c r="U92" s="13" t="str">
        <f t="shared" ca="1" si="12"/>
        <v>ACIMA REF.</v>
      </c>
      <c r="V92" s="4" t="str">
        <f ca="1">IF(OR($A92=0,$A92="S",$A92&gt;CFF!$A$9),"",MAX(V$12:OFFSET(V92,-1,0))+1)</f>
        <v/>
      </c>
      <c r="W92" s="9" t="str">
        <f t="shared" si="13"/>
        <v>MERCADO--</v>
      </c>
      <c r="X92" s="4" t="e">
        <f t="shared" ca="1" si="14"/>
        <v>#REF!</v>
      </c>
      <c r="Y92" s="121">
        <f t="shared" ca="1" si="15"/>
        <v>0</v>
      </c>
      <c r="Z92" s="132">
        <f ca="1">ROUND(IF(ISNUMBER(R92),R92,IF(LEFT(R92,3)="BDI",HLOOKUP(R92,DADOS!$T$37:$X$38,2,FALSE),0)),15-11*$X$5)</f>
        <v>0.2223</v>
      </c>
      <c r="AA92" s="4"/>
    </row>
    <row r="93" spans="1:27" ht="25.5" x14ac:dyDescent="0.2">
      <c r="A93" t="str">
        <f t="shared" si="0"/>
        <v>S</v>
      </c>
      <c r="B93">
        <f t="shared" si="1"/>
        <v>0</v>
      </c>
      <c r="C93">
        <f t="shared" ca="1" si="2"/>
        <v>4</v>
      </c>
      <c r="D93">
        <f t="shared" ca="1" si="3"/>
        <v>3</v>
      </c>
      <c r="E93">
        <f t="shared" ca="1" si="4"/>
        <v>0</v>
      </c>
      <c r="F93">
        <f t="shared" ca="1" si="5"/>
        <v>0</v>
      </c>
      <c r="G93">
        <f t="shared" ca="1" si="6"/>
        <v>2</v>
      </c>
      <c r="H93">
        <f t="shared" ca="1" si="51"/>
        <v>0</v>
      </c>
      <c r="I93">
        <f t="shared" ca="1" si="52"/>
        <v>0</v>
      </c>
      <c r="J93" s="120" t="s">
        <v>103</v>
      </c>
      <c r="K93" s="162" t="str">
        <f t="shared" ca="1" si="9"/>
        <v>4.3.2.</v>
      </c>
      <c r="L93" s="209" t="s">
        <v>238</v>
      </c>
      <c r="M93" s="209" t="s">
        <v>281</v>
      </c>
      <c r="N93" s="230" t="s">
        <v>360</v>
      </c>
      <c r="O93" s="229" t="s">
        <v>243</v>
      </c>
      <c r="P93" s="232">
        <v>15.12</v>
      </c>
      <c r="Q93" s="228">
        <v>465.71</v>
      </c>
      <c r="R93" s="231" t="s">
        <v>7</v>
      </c>
      <c r="S93" s="121">
        <f t="shared" ca="1" si="10"/>
        <v>569.24</v>
      </c>
      <c r="T93" s="98">
        <f t="shared" ca="1" si="11"/>
        <v>8606.91</v>
      </c>
      <c r="U93" s="13" t="str">
        <f t="shared" ca="1" si="12"/>
        <v>ACIMA REF.</v>
      </c>
      <c r="V93" s="4" t="str">
        <f ca="1">IF(OR($A93=0,$A93="S",$A93&gt;CFF!$A$9),"",MAX(V$12:OFFSET(V93,-1,0))+1)</f>
        <v/>
      </c>
      <c r="W93" s="9" t="str">
        <f t="shared" si="13"/>
        <v>SINAPI-91341</v>
      </c>
      <c r="X93" s="4" t="e">
        <f t="shared" ca="1" si="14"/>
        <v>#REF!</v>
      </c>
      <c r="Y93" s="121">
        <f t="shared" ca="1" si="15"/>
        <v>0</v>
      </c>
      <c r="Z93" s="132">
        <f ca="1">ROUND(IF(ISNUMBER(R93),R93,IF(LEFT(R93,3)="BDI",HLOOKUP(R93,DADOS!$T$37:$X$38,2,FALSE),0)),15-11*$X$5)</f>
        <v>0.2223</v>
      </c>
      <c r="AA93" s="4"/>
    </row>
    <row r="94" spans="1:27" ht="25.5" x14ac:dyDescent="0.2">
      <c r="A94" t="str">
        <f>CHOOSE(1+LOG(1+2*(J94="Meta")+4*(J94="Nível 2")+8*(J94="Nível 3")+16*(J94="Nível 4")+32*(J94="Serviço"),2),0,1,2,3,4,"S")</f>
        <v>S</v>
      </c>
      <c r="B94">
        <f>IF(OR(A94="S",A94=0),0,IF(ISERROR(I94),H94,SMALL(H94:I94,1)))</f>
        <v>0</v>
      </c>
      <c r="C94">
        <f ca="1">IF($A94=1,OFFSET(C94,-1,0)+1,OFFSET(C94,-1,0))</f>
        <v>4</v>
      </c>
      <c r="D94">
        <f ca="1">IF($A94=1,0,IF($A94=2,OFFSET(D94,-1,0)+1,OFFSET(D94,-1,0)))</f>
        <v>3</v>
      </c>
      <c r="E94">
        <f ca="1">IF(AND($A94&lt;=2,$A94&lt;&gt;0),0,IF($A94=3,OFFSET(E94,-1,0)+1,OFFSET(E94,-1,0)))</f>
        <v>0</v>
      </c>
      <c r="F94">
        <f ca="1">IF(AND($A94&lt;=3,$A94&lt;&gt;0),0,IF($A94=4,OFFSET(F94,-1,0)+1,OFFSET(F94,-1,0)))</f>
        <v>0</v>
      </c>
      <c r="G94">
        <f ca="1">IF(AND($A94&lt;=4,$A94&lt;&gt;0),0,IF($A94="S",OFFSET(G94,-1,0)+1,OFFSET(G94,-1,0)))</f>
        <v>3</v>
      </c>
      <c r="H94">
        <f t="shared" ca="1" si="51"/>
        <v>0</v>
      </c>
      <c r="I94">
        <f t="shared" ca="1" si="52"/>
        <v>0</v>
      </c>
      <c r="J94" s="120" t="s">
        <v>103</v>
      </c>
      <c r="K94" s="162" t="str">
        <f ca="1">IF($A94=0,"-",CONCATENATE(C94&amp;".",IF(AND($A$5&gt;=2,$A94&gt;=2),D94&amp;".",""),IF(AND($A$5&gt;=3,$A94&gt;=3),E94&amp;".",""),IF(AND($A$5&gt;=4,$A94&gt;=4),F94&amp;".",""),IF($A94="S",G94&amp;".","")))</f>
        <v>4.3.3.</v>
      </c>
      <c r="L94" s="209" t="s">
        <v>353</v>
      </c>
      <c r="M94" s="209" t="s">
        <v>402</v>
      </c>
      <c r="N94" s="230" t="s">
        <v>404</v>
      </c>
      <c r="O94" s="229" t="s">
        <v>243</v>
      </c>
      <c r="P94" s="232">
        <v>16.329999999999998</v>
      </c>
      <c r="Q94" s="228">
        <v>483.57</v>
      </c>
      <c r="R94" s="231" t="s">
        <v>7</v>
      </c>
      <c r="S94" s="121">
        <f ca="1">IF($A94="S",IF($Q$10="Preço Unitário (R$)",PO.CustoUnitario,ROUND(PO.CustoUnitario*(1+$Z94),15-13*$X$6)),0)</f>
        <v>591.07000000000005</v>
      </c>
      <c r="T94" s="98">
        <f ca="1">IF($A94="S",VTOTAL1,IF($A94=0,0,ROUND(SomaAgrup,15-13*$X$7)))</f>
        <v>9652.17</v>
      </c>
      <c r="U94" s="13" t="str">
        <f ca="1">IF($J94="","",IF($N94="","DESCRIÇÃO",IF(AND($J94="Serviço",$O94=""),"UNIDADE",IF($T94&lt;=0,"SEM VALOR",IF(AND($Y94&lt;&gt;"",$Q94&gt;$Y94),"ACIMA REF.","")))))</f>
        <v>ACIMA REF.</v>
      </c>
      <c r="V94" s="4" t="str">
        <f ca="1">IF(OR($A94=0,$A94="S",$A94&gt;CFF!$A$9),"",MAX(V$12:OFFSET(V94,-1,0))+1)</f>
        <v/>
      </c>
      <c r="W94" s="9" t="str">
        <f>IF(AND($J94="Serviço",$M94&lt;&gt;""),IF($L94="",$M94,CONCATENATE($L94,"-",$M94)))</f>
        <v>PRÓPRIA-0005</v>
      </c>
      <c r="X94" s="4" t="e">
        <f ca="1">IF(AND(Fonte&lt;&gt;"",Código&lt;&gt;""),MATCH(Fonte&amp;" "&amp;IF(Fonte="sinapi",SUBSTITUTE(SUBSTITUTE(Código,"/00","/"),"/0","/"),Código),INDIRECT("'[Referência "&amp;_xlnm.Database&amp;".xls]Banco'!$a:$a"),0),"X")</f>
        <v>#REF!</v>
      </c>
      <c r="Y94" s="121">
        <f ca="1">IF(Import.Desoneracao="sim",Referencia.Desonerado,Referencia.NaoDesonerado)</f>
        <v>0</v>
      </c>
      <c r="Z94" s="132">
        <f ca="1">ROUND(IF(ISNUMBER(R94),R94,IF(LEFT(R94,3)="BDI",HLOOKUP(R94,DADOS!$T$37:$X$38,2,FALSE),0)),15-11*$X$5)</f>
        <v>0.2223</v>
      </c>
      <c r="AA94" s="4"/>
    </row>
    <row r="95" spans="1:27" x14ac:dyDescent="0.2">
      <c r="A95" t="str">
        <f t="shared" si="0"/>
        <v>S</v>
      </c>
      <c r="B95">
        <f t="shared" si="1"/>
        <v>0</v>
      </c>
      <c r="C95">
        <f t="shared" ca="1" si="2"/>
        <v>4</v>
      </c>
      <c r="D95">
        <f t="shared" ca="1" si="3"/>
        <v>3</v>
      </c>
      <c r="E95">
        <f t="shared" ca="1" si="4"/>
        <v>0</v>
      </c>
      <c r="F95">
        <f t="shared" ca="1" si="5"/>
        <v>0</v>
      </c>
      <c r="G95">
        <f t="shared" ca="1" si="6"/>
        <v>4</v>
      </c>
      <c r="H95">
        <f t="shared" ca="1" si="51"/>
        <v>0</v>
      </c>
      <c r="I95">
        <f t="shared" ca="1" si="52"/>
        <v>0</v>
      </c>
      <c r="J95" s="120" t="s">
        <v>103</v>
      </c>
      <c r="K95" s="162" t="str">
        <f t="shared" ca="1" si="9"/>
        <v>4.3.4.</v>
      </c>
      <c r="L95" s="209" t="s">
        <v>238</v>
      </c>
      <c r="M95" s="209" t="s">
        <v>282</v>
      </c>
      <c r="N95" s="230" t="s">
        <v>318</v>
      </c>
      <c r="O95" s="229" t="s">
        <v>246</v>
      </c>
      <c r="P95" s="232">
        <v>13.6</v>
      </c>
      <c r="Q95" s="228">
        <v>89.19</v>
      </c>
      <c r="R95" s="231" t="s">
        <v>7</v>
      </c>
      <c r="S95" s="121">
        <f t="shared" ca="1" si="10"/>
        <v>109.02</v>
      </c>
      <c r="T95" s="98">
        <f t="shared" ca="1" si="11"/>
        <v>1482.67</v>
      </c>
      <c r="U95" s="13" t="str">
        <f t="shared" ca="1" si="12"/>
        <v>ACIMA REF.</v>
      </c>
      <c r="V95" s="4" t="str">
        <f ca="1">IF(OR($A95=0,$A95="S",$A95&gt;CFF!$A$9),"",MAX(V$12:OFFSET(V95,-1,0))+1)</f>
        <v/>
      </c>
      <c r="W95" s="9" t="str">
        <f t="shared" si="13"/>
        <v>SINAPI-98689</v>
      </c>
      <c r="X95" s="4" t="e">
        <f t="shared" ca="1" si="14"/>
        <v>#REF!</v>
      </c>
      <c r="Y95" s="121">
        <f t="shared" ca="1" si="15"/>
        <v>0</v>
      </c>
      <c r="Z95" s="132">
        <f ca="1">ROUND(IF(ISNUMBER(R95),R95,IF(LEFT(R95,3)="BDI",HLOOKUP(R95,DADOS!$T$37:$X$38,2,FALSE),0)),15-11*$X$5)</f>
        <v>0.2223</v>
      </c>
      <c r="AA95" s="4"/>
    </row>
    <row r="96" spans="1:27" ht="38.25" x14ac:dyDescent="0.2">
      <c r="A96" t="str">
        <f>CHOOSE(1+LOG(1+2*(J96="Meta")+4*(J96="Nível 2")+8*(J96="Nível 3")+16*(J96="Nível 4")+32*(J96="Serviço"),2),0,1,2,3,4,"S")</f>
        <v>S</v>
      </c>
      <c r="B96">
        <f>IF(OR(A96="S",A96=0),0,IF(ISERROR(I96),H96,SMALL(H96:I96,1)))</f>
        <v>0</v>
      </c>
      <c r="C96">
        <f ca="1">IF($A96=1,OFFSET(C96,-1,0)+1,OFFSET(C96,-1,0))</f>
        <v>4</v>
      </c>
      <c r="D96">
        <f ca="1">IF($A96=1,0,IF($A96=2,OFFSET(D96,-1,0)+1,OFFSET(D96,-1,0)))</f>
        <v>3</v>
      </c>
      <c r="E96">
        <f ca="1">IF(AND($A96&lt;=2,$A96&lt;&gt;0),0,IF($A96=3,OFFSET(E96,-1,0)+1,OFFSET(E96,-1,0)))</f>
        <v>0</v>
      </c>
      <c r="F96">
        <f ca="1">IF(AND($A96&lt;=3,$A96&lt;&gt;0),0,IF($A96=4,OFFSET(F96,-1,0)+1,OFFSET(F96,-1,0)))</f>
        <v>0</v>
      </c>
      <c r="G96">
        <f ca="1">IF(AND($A96&lt;=4,$A96&lt;&gt;0),0,IF($A96="S",OFFSET(G96,-1,0)+1,OFFSET(G96,-1,0)))</f>
        <v>5</v>
      </c>
      <c r="H96">
        <f t="shared" ca="1" si="51"/>
        <v>0</v>
      </c>
      <c r="I96">
        <f t="shared" ca="1" si="52"/>
        <v>0</v>
      </c>
      <c r="J96" s="120" t="s">
        <v>103</v>
      </c>
      <c r="K96" s="162" t="str">
        <f ca="1">IF($A96=0,"-",CONCATENATE(C96&amp;".",IF(AND($A$5&gt;=2,$A96&gt;=2),D96&amp;".",""),IF(AND($A$5&gt;=3,$A96&gt;=3),E96&amp;".",""),IF(AND($A$5&gt;=4,$A96&gt;=4),F96&amp;".",""),IF($A96="S",G96&amp;".","")))</f>
        <v>4.3.5.</v>
      </c>
      <c r="L96" s="209" t="s">
        <v>353</v>
      </c>
      <c r="M96" s="209" t="s">
        <v>361</v>
      </c>
      <c r="N96" s="230" t="s">
        <v>400</v>
      </c>
      <c r="O96" s="229" t="s">
        <v>243</v>
      </c>
      <c r="P96" s="232">
        <v>10.72</v>
      </c>
      <c r="Q96" s="228">
        <v>679.57</v>
      </c>
      <c r="R96" s="231" t="s">
        <v>7</v>
      </c>
      <c r="S96" s="121">
        <f ca="1">IF($A96="S",IF($Q$10="Preço Unitário (R$)",PO.CustoUnitario,ROUND(PO.CustoUnitario*(1+$Z96),15-13*$X$6)),0)</f>
        <v>830.64</v>
      </c>
      <c r="T96" s="98">
        <f ca="1">IF($A96="S",VTOTAL1,IF($A96=0,0,ROUND(SomaAgrup,15-13*$X$7)))</f>
        <v>8904.4599999999991</v>
      </c>
      <c r="U96" s="13" t="str">
        <f ca="1">IF($J96="","",IF($N96="","DESCRIÇÃO",IF(AND($J96="Serviço",$O96=""),"UNIDADE",IF($T96&lt;=0,"SEM VALOR",IF(AND($Y96&lt;&gt;"",$Q96&gt;$Y96),"ACIMA REF.","")))))</f>
        <v>ACIMA REF.</v>
      </c>
      <c r="V96" s="4" t="str">
        <f ca="1">IF(OR($A96=0,$A96="S",$A96&gt;CFF!$A$9),"",MAX(V$12:OFFSET(V96,-1,0))+1)</f>
        <v/>
      </c>
      <c r="W96" s="9" t="str">
        <f>IF(AND($J96="Serviço",$M96&lt;&gt;""),IF($L96="",$M96,CONCATENATE($L96,"-",$M96)))</f>
        <v>PRÓPRIA-0002</v>
      </c>
      <c r="X96" s="4" t="e">
        <f ca="1">IF(AND(Fonte&lt;&gt;"",Código&lt;&gt;""),MATCH(Fonte&amp;" "&amp;IF(Fonte="sinapi",SUBSTITUTE(SUBSTITUTE(Código,"/00","/"),"/0","/"),Código),INDIRECT("'[Referência "&amp;_xlnm.Database&amp;".xls]Banco'!$a:$a"),0),"X")</f>
        <v>#REF!</v>
      </c>
      <c r="Y96" s="121">
        <f ca="1">IF(Import.Desoneracao="sim",Referencia.Desonerado,Referencia.NaoDesonerado)</f>
        <v>0</v>
      </c>
      <c r="Z96" s="132">
        <f ca="1">ROUND(IF(ISNUMBER(R96),R96,IF(LEFT(R96,3)="BDI",HLOOKUP(R96,DADOS!$T$37:$X$38,2,FALSE),0)),15-11*$X$5)</f>
        <v>0.2223</v>
      </c>
      <c r="AA96" s="4"/>
    </row>
    <row r="97" spans="1:27" x14ac:dyDescent="0.2">
      <c r="A97" t="str">
        <f>CHOOSE(1+LOG(1+2*(J97="Meta")+4*(J97="Nível 2")+8*(J97="Nível 3")+16*(J97="Nível 4")+32*(J97="Serviço"),2),0,1,2,3,4,"S")</f>
        <v>S</v>
      </c>
      <c r="B97">
        <f>IF(OR(A97="S",A97=0),0,IF(ISERROR(I97),H97,SMALL(H97:I97,1)))</f>
        <v>0</v>
      </c>
      <c r="C97">
        <f ca="1">IF($A97=1,OFFSET(C97,-1,0)+1,OFFSET(C97,-1,0))</f>
        <v>4</v>
      </c>
      <c r="D97">
        <f ca="1">IF($A97=1,0,IF($A97=2,OFFSET(D97,-1,0)+1,OFFSET(D97,-1,0)))</f>
        <v>3</v>
      </c>
      <c r="E97">
        <f ca="1">IF(AND($A97&lt;=2,$A97&lt;&gt;0),0,IF($A97=3,OFFSET(E97,-1,0)+1,OFFSET(E97,-1,0)))</f>
        <v>0</v>
      </c>
      <c r="F97">
        <f ca="1">IF(AND($A97&lt;=3,$A97&lt;&gt;0),0,IF($A97=4,OFFSET(F97,-1,0)+1,OFFSET(F97,-1,0)))</f>
        <v>0</v>
      </c>
      <c r="G97">
        <f ca="1">IF(AND($A97&lt;=4,$A97&lt;&gt;0),0,IF($A97="S",OFFSET(G97,-1,0)+1,OFFSET(G97,-1,0)))</f>
        <v>6</v>
      </c>
      <c r="H97">
        <f t="shared" ca="1" si="51"/>
        <v>0</v>
      </c>
      <c r="I97">
        <f t="shared" ca="1" si="52"/>
        <v>0</v>
      </c>
      <c r="J97" s="120" t="s">
        <v>103</v>
      </c>
      <c r="K97" s="162" t="str">
        <f ca="1">IF($A97=0,"-",CONCATENATE(C97&amp;".",IF(AND($A$5&gt;=2,$A97&gt;=2),D97&amp;".",""),IF(AND($A$5&gt;=3,$A97&gt;=3),E97&amp;".",""),IF(AND($A$5&gt;=4,$A97&gt;=4),F97&amp;".",""),IF($A97="S",G97&amp;".","")))</f>
        <v>4.3.6.</v>
      </c>
      <c r="L97" s="209" t="s">
        <v>238</v>
      </c>
      <c r="M97" s="209" t="s">
        <v>412</v>
      </c>
      <c r="N97" s="230" t="s">
        <v>422</v>
      </c>
      <c r="O97" s="229" t="s">
        <v>246</v>
      </c>
      <c r="P97" s="232">
        <v>2.2999999999999998</v>
      </c>
      <c r="Q97" s="228">
        <v>19.690000000000001</v>
      </c>
      <c r="R97" s="231" t="s">
        <v>7</v>
      </c>
      <c r="S97" s="121">
        <f ca="1">IF($A97="S",IF($Q$10="Preço Unitário (R$)",PO.CustoUnitario,ROUND(PO.CustoUnitario*(1+$Z97),15-13*$X$6)),0)</f>
        <v>24.07</v>
      </c>
      <c r="T97" s="98">
        <f ca="1">IF($A97="S",VTOTAL1,IF($A97=0,0,ROUND(SomaAgrup,15-13*$X$7)))</f>
        <v>55.36</v>
      </c>
      <c r="U97" s="13" t="str">
        <f ca="1">IF($J97="","",IF($N97="","DESCRIÇÃO",IF(AND($J97="Serviço",$O97=""),"UNIDADE",IF($T97&lt;=0,"SEM VALOR",IF(AND($Y97&lt;&gt;"",$Q97&gt;$Y97),"ACIMA REF.","")))))</f>
        <v>ACIMA REF.</v>
      </c>
      <c r="V97" s="4" t="str">
        <f ca="1">IF(OR($A97=0,$A97="S",$A97&gt;CFF!$A$9),"",MAX(V$12:OFFSET(V97,-1,0))+1)</f>
        <v/>
      </c>
      <c r="W97" s="9" t="str">
        <f>IF(AND($J97="Serviço",$M97&lt;&gt;""),IF($L97="",$M97,CONCATENATE($L97,"-",$M97)))</f>
        <v>SINAPI-93184</v>
      </c>
      <c r="X97" s="4" t="e">
        <f ca="1">IF(AND(Fonte&lt;&gt;"",Código&lt;&gt;""),MATCH(Fonte&amp;" "&amp;IF(Fonte="sinapi",SUBSTITUTE(SUBSTITUTE(Código,"/00","/"),"/0","/"),Código),INDIRECT("'[Referência "&amp;_xlnm.Database&amp;".xls]Banco'!$a:$a"),0),"X")</f>
        <v>#REF!</v>
      </c>
      <c r="Y97" s="121">
        <f ca="1">IF(Import.Desoneracao="sim",Referencia.Desonerado,Referencia.NaoDesonerado)</f>
        <v>0</v>
      </c>
      <c r="Z97" s="132">
        <f ca="1">ROUND(IF(ISNUMBER(R97),R97,IF(LEFT(R97,3)="BDI",HLOOKUP(R97,DADOS!$T$37:$X$38,2,FALSE),0)),15-11*$X$5)</f>
        <v>0.2223</v>
      </c>
      <c r="AA97" s="4"/>
    </row>
    <row r="98" spans="1:27" x14ac:dyDescent="0.2">
      <c r="A98">
        <f t="shared" si="0"/>
        <v>2</v>
      </c>
      <c r="B98">
        <f t="shared" ca="1" si="1"/>
        <v>12</v>
      </c>
      <c r="C98">
        <f t="shared" ca="1" si="2"/>
        <v>4</v>
      </c>
      <c r="D98">
        <f t="shared" ca="1" si="3"/>
        <v>4</v>
      </c>
      <c r="E98">
        <f t="shared" ca="1" si="4"/>
        <v>0</v>
      </c>
      <c r="F98">
        <f t="shared" ca="1" si="5"/>
        <v>0</v>
      </c>
      <c r="G98">
        <f t="shared" ca="1" si="6"/>
        <v>0</v>
      </c>
      <c r="H98">
        <f t="shared" ca="1" si="51"/>
        <v>20</v>
      </c>
      <c r="I98">
        <f t="shared" ca="1" si="52"/>
        <v>12</v>
      </c>
      <c r="J98" s="120" t="s">
        <v>100</v>
      </c>
      <c r="K98" s="162" t="str">
        <f t="shared" ca="1" si="9"/>
        <v>4.4.</v>
      </c>
      <c r="L98" s="209" t="s">
        <v>238</v>
      </c>
      <c r="M98" s="209"/>
      <c r="N98" s="230" t="s">
        <v>283</v>
      </c>
      <c r="O98" s="229" t="str">
        <f ca="1">Referencia.Unidade</f>
        <v/>
      </c>
      <c r="P98" s="232"/>
      <c r="Q98" s="228"/>
      <c r="R98" s="231" t="s">
        <v>7</v>
      </c>
      <c r="S98" s="121">
        <f t="shared" si="10"/>
        <v>0</v>
      </c>
      <c r="T98" s="98">
        <f t="shared" ca="1" si="11"/>
        <v>24502.799999999999</v>
      </c>
      <c r="U98" s="13" t="str">
        <f t="shared" ca="1" si="12"/>
        <v/>
      </c>
      <c r="V98" s="4">
        <f ca="1">IF(OR($A98=0,$A98="S",$A98&gt;CFF!$A$9),"",MAX(V$12:OFFSET(V98,-1,0))+1)</f>
        <v>13</v>
      </c>
      <c r="W98" s="9" t="b">
        <f t="shared" si="13"/>
        <v>0</v>
      </c>
      <c r="X98" s="4" t="str">
        <f t="shared" ca="1" si="14"/>
        <v>X</v>
      </c>
      <c r="Y98" s="121">
        <f t="shared" ca="1" si="15"/>
        <v>0</v>
      </c>
      <c r="Z98" s="132">
        <f ca="1">ROUND(IF(ISNUMBER(R98),R98,IF(LEFT(R98,3)="BDI",HLOOKUP(R98,DADOS!$T$37:$X$38,2,FALSE),0)),15-11*$X$5)</f>
        <v>0.2223</v>
      </c>
      <c r="AA98" s="4"/>
    </row>
    <row r="99" spans="1:27" ht="38.25" x14ac:dyDescent="0.2">
      <c r="A99" t="str">
        <f t="shared" si="0"/>
        <v>S</v>
      </c>
      <c r="B99">
        <f t="shared" si="1"/>
        <v>0</v>
      </c>
      <c r="C99">
        <f t="shared" ca="1" si="2"/>
        <v>4</v>
      </c>
      <c r="D99">
        <f t="shared" ca="1" si="3"/>
        <v>4</v>
      </c>
      <c r="E99">
        <f t="shared" ca="1" si="4"/>
        <v>0</v>
      </c>
      <c r="F99">
        <f t="shared" ca="1" si="5"/>
        <v>0</v>
      </c>
      <c r="G99">
        <f t="shared" ca="1" si="6"/>
        <v>1</v>
      </c>
      <c r="H99">
        <f t="shared" ca="1" si="51"/>
        <v>0</v>
      </c>
      <c r="I99">
        <f t="shared" ca="1" si="52"/>
        <v>0</v>
      </c>
      <c r="J99" s="120" t="s">
        <v>103</v>
      </c>
      <c r="K99" s="162" t="str">
        <f t="shared" ca="1" si="9"/>
        <v>4.4.1.</v>
      </c>
      <c r="L99" s="209" t="s">
        <v>238</v>
      </c>
      <c r="M99" s="209" t="s">
        <v>284</v>
      </c>
      <c r="N99" s="230" t="s">
        <v>319</v>
      </c>
      <c r="O99" s="229" t="s">
        <v>245</v>
      </c>
      <c r="P99" s="232">
        <v>14</v>
      </c>
      <c r="Q99" s="228">
        <v>394.68</v>
      </c>
      <c r="R99" s="231" t="s">
        <v>7</v>
      </c>
      <c r="S99" s="121">
        <f t="shared" ca="1" si="10"/>
        <v>482.42</v>
      </c>
      <c r="T99" s="98">
        <f t="shared" ca="1" si="11"/>
        <v>6753.88</v>
      </c>
      <c r="U99" s="13" t="str">
        <f t="shared" ca="1" si="12"/>
        <v>ACIMA REF.</v>
      </c>
      <c r="V99" s="4" t="str">
        <f ca="1">IF(OR($A99=0,$A99="S",$A99&gt;CFF!$A$9),"",MAX(V$12:OFFSET(V99,-1,0))+1)</f>
        <v/>
      </c>
      <c r="W99" s="9" t="str">
        <f t="shared" si="13"/>
        <v>SINAPI-86931</v>
      </c>
      <c r="X99" s="4" t="e">
        <f t="shared" ca="1" si="14"/>
        <v>#REF!</v>
      </c>
      <c r="Y99" s="121">
        <f t="shared" ca="1" si="15"/>
        <v>0</v>
      </c>
      <c r="Z99" s="132">
        <f ca="1">ROUND(IF(ISNUMBER(R99),R99,IF(LEFT(R99,3)="BDI",HLOOKUP(R99,DADOS!$T$37:$X$38,2,FALSE),0)),15-11*$X$5)</f>
        <v>0.2223</v>
      </c>
      <c r="AA99" s="4"/>
    </row>
    <row r="100" spans="1:27" ht="38.25" x14ac:dyDescent="0.2">
      <c r="A100" t="str">
        <f t="shared" si="0"/>
        <v>S</v>
      </c>
      <c r="B100">
        <f t="shared" si="1"/>
        <v>0</v>
      </c>
      <c r="C100">
        <f t="shared" ca="1" si="2"/>
        <v>4</v>
      </c>
      <c r="D100">
        <f t="shared" ca="1" si="3"/>
        <v>4</v>
      </c>
      <c r="E100">
        <f t="shared" ca="1" si="4"/>
        <v>0</v>
      </c>
      <c r="F100">
        <f t="shared" ca="1" si="5"/>
        <v>0</v>
      </c>
      <c r="G100">
        <f t="shared" ca="1" si="6"/>
        <v>2</v>
      </c>
      <c r="H100">
        <f t="shared" ca="1" si="51"/>
        <v>0</v>
      </c>
      <c r="I100">
        <f t="shared" ca="1" si="52"/>
        <v>0</v>
      </c>
      <c r="J100" s="120" t="s">
        <v>103</v>
      </c>
      <c r="K100" s="162" t="str">
        <f t="shared" ca="1" si="9"/>
        <v>4.4.2.</v>
      </c>
      <c r="L100" s="209" t="s">
        <v>238</v>
      </c>
      <c r="M100" s="209" t="s">
        <v>285</v>
      </c>
      <c r="N100" s="230" t="s">
        <v>320</v>
      </c>
      <c r="O100" s="229" t="s">
        <v>245</v>
      </c>
      <c r="P100" s="232">
        <v>2</v>
      </c>
      <c r="Q100" s="228">
        <v>686.62</v>
      </c>
      <c r="R100" s="231" t="s">
        <v>7</v>
      </c>
      <c r="S100" s="121">
        <f t="shared" ca="1" si="10"/>
        <v>839.26</v>
      </c>
      <c r="T100" s="98">
        <f t="shared" ca="1" si="11"/>
        <v>1678.52</v>
      </c>
      <c r="U100" s="13" t="str">
        <f t="shared" ca="1" si="12"/>
        <v>ACIMA REF.</v>
      </c>
      <c r="V100" s="4" t="str">
        <f ca="1">IF(OR($A100=0,$A100="S",$A100&gt;CFF!$A$9),"",MAX(V$12:OFFSET(V100,-1,0))+1)</f>
        <v/>
      </c>
      <c r="W100" s="9" t="str">
        <f t="shared" si="13"/>
        <v>SINAPI-95472</v>
      </c>
      <c r="X100" s="4" t="e">
        <f t="shared" ca="1" si="14"/>
        <v>#REF!</v>
      </c>
      <c r="Y100" s="121">
        <f t="shared" ca="1" si="15"/>
        <v>0</v>
      </c>
      <c r="Z100" s="132">
        <f ca="1">ROUND(IF(ISNUMBER(R100),R100,IF(LEFT(R100,3)="BDI",HLOOKUP(R100,DADOS!$T$37:$X$38,2,FALSE),0)),15-11*$X$5)</f>
        <v>0.2223</v>
      </c>
      <c r="AA100" s="4"/>
    </row>
    <row r="101" spans="1:27" ht="25.5" x14ac:dyDescent="0.2">
      <c r="A101" t="str">
        <f t="shared" si="0"/>
        <v>S</v>
      </c>
      <c r="B101">
        <f t="shared" si="1"/>
        <v>0</v>
      </c>
      <c r="C101">
        <f t="shared" ca="1" si="2"/>
        <v>4</v>
      </c>
      <c r="D101">
        <f t="shared" ca="1" si="3"/>
        <v>4</v>
      </c>
      <c r="E101">
        <f t="shared" ca="1" si="4"/>
        <v>0</v>
      </c>
      <c r="F101">
        <f t="shared" ca="1" si="5"/>
        <v>0</v>
      </c>
      <c r="G101">
        <f t="shared" ca="1" si="6"/>
        <v>3</v>
      </c>
      <c r="H101">
        <f t="shared" ca="1" si="51"/>
        <v>0</v>
      </c>
      <c r="I101">
        <f t="shared" ca="1" si="52"/>
        <v>0</v>
      </c>
      <c r="J101" s="120" t="s">
        <v>103</v>
      </c>
      <c r="K101" s="162" t="str">
        <f t="shared" ca="1" si="9"/>
        <v>4.4.3.</v>
      </c>
      <c r="L101" s="209" t="s">
        <v>238</v>
      </c>
      <c r="M101" s="209" t="s">
        <v>403</v>
      </c>
      <c r="N101" s="230" t="s">
        <v>401</v>
      </c>
      <c r="O101" s="229" t="s">
        <v>261</v>
      </c>
      <c r="P101" s="232">
        <v>10</v>
      </c>
      <c r="Q101" s="228">
        <v>519.54999999999995</v>
      </c>
      <c r="R101" s="231" t="s">
        <v>7</v>
      </c>
      <c r="S101" s="121">
        <f t="shared" ca="1" si="10"/>
        <v>635.04999999999995</v>
      </c>
      <c r="T101" s="98">
        <f t="shared" ca="1" si="11"/>
        <v>6350.5</v>
      </c>
      <c r="U101" s="13" t="str">
        <f t="shared" ca="1" si="12"/>
        <v>ACIMA REF.</v>
      </c>
      <c r="V101" s="4" t="str">
        <f ca="1">IF(OR($A101=0,$A101="S",$A101&gt;CFF!$A$9),"",MAX(V$12:OFFSET(V101,-1,0))+1)</f>
        <v/>
      </c>
      <c r="W101" s="9" t="str">
        <f t="shared" si="13"/>
        <v>SINAPI-100858</v>
      </c>
      <c r="X101" s="4" t="e">
        <f t="shared" ca="1" si="14"/>
        <v>#REF!</v>
      </c>
      <c r="Y101" s="121">
        <f t="shared" ca="1" si="15"/>
        <v>0</v>
      </c>
      <c r="Z101" s="132">
        <f ca="1">ROUND(IF(ISNUMBER(R101),R101,IF(LEFT(R101,3)="BDI",HLOOKUP(R101,DADOS!$T$37:$X$38,2,FALSE),0)),15-11*$X$5)</f>
        <v>0.2223</v>
      </c>
      <c r="AA101" s="4"/>
    </row>
    <row r="102" spans="1:27" ht="51" x14ac:dyDescent="0.2">
      <c r="A102" t="str">
        <f t="shared" si="0"/>
        <v>S</v>
      </c>
      <c r="B102">
        <f t="shared" si="1"/>
        <v>0</v>
      </c>
      <c r="C102">
        <f t="shared" ca="1" si="2"/>
        <v>4</v>
      </c>
      <c r="D102">
        <f t="shared" ca="1" si="3"/>
        <v>4</v>
      </c>
      <c r="E102">
        <f t="shared" ca="1" si="4"/>
        <v>0</v>
      </c>
      <c r="F102">
        <f t="shared" ca="1" si="5"/>
        <v>0</v>
      </c>
      <c r="G102">
        <f t="shared" ca="1" si="6"/>
        <v>4</v>
      </c>
      <c r="H102">
        <f t="shared" ca="1" si="51"/>
        <v>0</v>
      </c>
      <c r="I102">
        <f t="shared" ca="1" si="52"/>
        <v>0</v>
      </c>
      <c r="J102" s="120" t="s">
        <v>103</v>
      </c>
      <c r="K102" s="162" t="str">
        <f t="shared" ca="1" si="9"/>
        <v>4.4.4.</v>
      </c>
      <c r="L102" s="209" t="s">
        <v>238</v>
      </c>
      <c r="M102" s="209" t="s">
        <v>295</v>
      </c>
      <c r="N102" s="230" t="s">
        <v>330</v>
      </c>
      <c r="O102" s="229" t="s">
        <v>245</v>
      </c>
      <c r="P102" s="232">
        <v>14</v>
      </c>
      <c r="Q102" s="228">
        <v>292.75</v>
      </c>
      <c r="R102" s="231" t="s">
        <v>7</v>
      </c>
      <c r="S102" s="121">
        <f t="shared" ca="1" si="10"/>
        <v>357.83</v>
      </c>
      <c r="T102" s="98">
        <f t="shared" ca="1" si="11"/>
        <v>5009.62</v>
      </c>
      <c r="U102" s="13" t="str">
        <f t="shared" ca="1" si="12"/>
        <v>ACIMA REF.</v>
      </c>
      <c r="V102" s="4" t="str">
        <f ca="1">IF(OR($A102=0,$A102="S",$A102&gt;CFF!$A$9),"",MAX(V$12:OFFSET(V102,-1,0))+1)</f>
        <v/>
      </c>
      <c r="W102" s="9" t="str">
        <f t="shared" si="13"/>
        <v>SINAPI-86939</v>
      </c>
      <c r="X102" s="4" t="e">
        <f t="shared" ca="1" si="14"/>
        <v>#REF!</v>
      </c>
      <c r="Y102" s="121">
        <f t="shared" ca="1" si="15"/>
        <v>0</v>
      </c>
      <c r="Z102" s="132">
        <f ca="1">ROUND(IF(ISNUMBER(R102),R102,IF(LEFT(R102,3)="BDI",HLOOKUP(R102,DADOS!$T$37:$X$38,2,FALSE),0)),15-11*$X$5)</f>
        <v>0.2223</v>
      </c>
      <c r="AA102" s="4"/>
    </row>
    <row r="103" spans="1:27" ht="51" x14ac:dyDescent="0.2">
      <c r="A103" t="str">
        <f t="shared" si="0"/>
        <v>S</v>
      </c>
      <c r="B103">
        <f t="shared" si="1"/>
        <v>0</v>
      </c>
      <c r="C103">
        <f t="shared" ca="1" si="2"/>
        <v>4</v>
      </c>
      <c r="D103">
        <f t="shared" ca="1" si="3"/>
        <v>4</v>
      </c>
      <c r="E103">
        <f t="shared" ca="1" si="4"/>
        <v>0</v>
      </c>
      <c r="F103">
        <f t="shared" ca="1" si="5"/>
        <v>0</v>
      </c>
      <c r="G103">
        <f t="shared" ca="1" si="6"/>
        <v>5</v>
      </c>
      <c r="H103">
        <f t="shared" ca="1" si="51"/>
        <v>0</v>
      </c>
      <c r="I103">
        <f t="shared" ca="1" si="52"/>
        <v>0</v>
      </c>
      <c r="J103" s="120" t="s">
        <v>103</v>
      </c>
      <c r="K103" s="162" t="str">
        <f t="shared" ca="1" si="9"/>
        <v>4.4.5.</v>
      </c>
      <c r="L103" s="209" t="s">
        <v>238</v>
      </c>
      <c r="M103" s="209" t="s">
        <v>288</v>
      </c>
      <c r="N103" s="230" t="s">
        <v>331</v>
      </c>
      <c r="O103" s="229" t="s">
        <v>245</v>
      </c>
      <c r="P103" s="232">
        <v>2</v>
      </c>
      <c r="Q103" s="228">
        <v>200.59</v>
      </c>
      <c r="R103" s="231" t="s">
        <v>7</v>
      </c>
      <c r="S103" s="121">
        <f t="shared" ca="1" si="10"/>
        <v>245.18</v>
      </c>
      <c r="T103" s="98">
        <f t="shared" ca="1" si="11"/>
        <v>490.36</v>
      </c>
      <c r="U103" s="13" t="str">
        <f t="shared" ca="1" si="12"/>
        <v>ACIMA REF.</v>
      </c>
      <c r="V103" s="4" t="str">
        <f ca="1">IF(OR($A103=0,$A103="S",$A103&gt;CFF!$A$9),"",MAX(V$12:OFFSET(V103,-1,0))+1)</f>
        <v/>
      </c>
      <c r="W103" s="9" t="str">
        <f t="shared" si="13"/>
        <v>SINAPI-86942</v>
      </c>
      <c r="X103" s="4" t="e">
        <f t="shared" ca="1" si="14"/>
        <v>#REF!</v>
      </c>
      <c r="Y103" s="121">
        <f t="shared" ca="1" si="15"/>
        <v>0</v>
      </c>
      <c r="Z103" s="132">
        <f ca="1">ROUND(IF(ISNUMBER(R103),R103,IF(LEFT(R103,3)="BDI",HLOOKUP(R103,DADOS!$T$37:$X$38,2,FALSE),0)),15-11*$X$5)</f>
        <v>0.2223</v>
      </c>
      <c r="AA103" s="4"/>
    </row>
    <row r="104" spans="1:27" ht="25.5" x14ac:dyDescent="0.2">
      <c r="A104" t="str">
        <f t="shared" ref="A104:A109" si="53">CHOOSE(1+LOG(1+2*(J104="Meta")+4*(J104="Nível 2")+8*(J104="Nível 3")+16*(J104="Nível 4")+32*(J104="Serviço"),2),0,1,2,3,4,"S")</f>
        <v>S</v>
      </c>
      <c r="B104">
        <f t="shared" ref="B104:B109" si="54">IF(OR(A104="S",A104=0),0,IF(ISERROR(I104),H104,SMALL(H104:I104,1)))</f>
        <v>0</v>
      </c>
      <c r="C104">
        <f t="shared" ref="C104:C109" ca="1" si="55">IF($A104=1,OFFSET(C104,-1,0)+1,OFFSET(C104,-1,0))</f>
        <v>4</v>
      </c>
      <c r="D104">
        <f t="shared" ref="D104:D109" ca="1" si="56">IF($A104=1,0,IF($A104=2,OFFSET(D104,-1,0)+1,OFFSET(D104,-1,0)))</f>
        <v>4</v>
      </c>
      <c r="E104">
        <f t="shared" ref="E104:E109" ca="1" si="57">IF(AND($A104&lt;=2,$A104&lt;&gt;0),0,IF($A104=3,OFFSET(E104,-1,0)+1,OFFSET(E104,-1,0)))</f>
        <v>0</v>
      </c>
      <c r="F104">
        <f t="shared" ref="F104:F109" ca="1" si="58">IF(AND($A104&lt;=3,$A104&lt;&gt;0),0,IF($A104=4,OFFSET(F104,-1,0)+1,OFFSET(F104,-1,0)))</f>
        <v>0</v>
      </c>
      <c r="G104">
        <f t="shared" ref="G104:G109" ca="1" si="59">IF(AND($A104&lt;=4,$A104&lt;&gt;0),0,IF($A104="S",OFFSET(G104,-1,0)+1,OFFSET(G104,-1,0)))</f>
        <v>6</v>
      </c>
      <c r="H104">
        <f t="shared" ca="1" si="51"/>
        <v>0</v>
      </c>
      <c r="I104">
        <f t="shared" ca="1" si="52"/>
        <v>0</v>
      </c>
      <c r="J104" s="120" t="s">
        <v>103</v>
      </c>
      <c r="K104" s="162" t="str">
        <f t="shared" ref="K104:K109" ca="1" si="60">IF($A104=0,"-",CONCATENATE(C104&amp;".",IF(AND($A$5&gt;=2,$A104&gt;=2),D104&amp;".",""),IF(AND($A$5&gt;=3,$A104&gt;=3),E104&amp;".",""),IF(AND($A$5&gt;=4,$A104&gt;=4),F104&amp;".",""),IF($A104="S",G104&amp;".","")))</f>
        <v>4.4.6.</v>
      </c>
      <c r="L104" s="209" t="s">
        <v>238</v>
      </c>
      <c r="M104" s="209" t="s">
        <v>362</v>
      </c>
      <c r="N104" s="230" t="s">
        <v>382</v>
      </c>
      <c r="O104" s="229" t="s">
        <v>245</v>
      </c>
      <c r="P104" s="232">
        <v>2</v>
      </c>
      <c r="Q104" s="228">
        <v>556.51</v>
      </c>
      <c r="R104" s="231" t="s">
        <v>7</v>
      </c>
      <c r="S104" s="121">
        <f t="shared" ref="S104:S109" ca="1" si="61">IF($A104="S",IF($Q$10="Preço Unitário (R$)",PO.CustoUnitario,ROUND(PO.CustoUnitario*(1+$Z104),15-13*$X$6)),0)</f>
        <v>680.22</v>
      </c>
      <c r="T104" s="98">
        <f t="shared" ref="T104:T109" ca="1" si="62">IF($A104="S",VTOTAL1,IF($A104=0,0,ROUND(SomaAgrup,15-13*$X$7)))</f>
        <v>1360.44</v>
      </c>
      <c r="U104" s="13" t="str">
        <f t="shared" ref="U104:U109" ca="1" si="63">IF($J104="","",IF($N104="","DESCRIÇÃO",IF(AND($J104="Serviço",$O104=""),"UNIDADE",IF($T104&lt;=0,"SEM VALOR",IF(AND($Y104&lt;&gt;"",$Q104&gt;$Y104),"ACIMA REF.","")))))</f>
        <v>ACIMA REF.</v>
      </c>
      <c r="V104" s="4" t="str">
        <f ca="1">IF(OR($A104=0,$A104="S",$A104&gt;CFF!$A$9),"",MAX(V$12:OFFSET(V104,-1,0))+1)</f>
        <v/>
      </c>
      <c r="W104" s="9" t="str">
        <f t="shared" ref="W104:W109" si="64">IF(AND($J104="Serviço",$M104&lt;&gt;""),IF($L104="",$M104,CONCATENATE($L104,"-",$M104)))</f>
        <v>SINAPI-100865</v>
      </c>
      <c r="X104" s="4" t="e">
        <f t="shared" ref="X104:X109" ca="1" si="65">IF(AND(Fonte&lt;&gt;"",Código&lt;&gt;""),MATCH(Fonte&amp;" "&amp;IF(Fonte="sinapi",SUBSTITUTE(SUBSTITUTE(Código,"/00","/"),"/0","/"),Código),INDIRECT("'[Referência "&amp;_xlnm.Database&amp;".xls]Banco'!$a:$a"),0),"X")</f>
        <v>#REF!</v>
      </c>
      <c r="Y104" s="121">
        <f ca="1">IF(Import.Desoneracao="sim",Referencia.Desonerado,Referencia.NaoDesonerado)</f>
        <v>0</v>
      </c>
      <c r="Z104" s="132">
        <f ca="1">ROUND(IF(ISNUMBER(R104),R104,IF(LEFT(R104,3)="BDI",HLOOKUP(R104,DADOS!$T$37:$X$38,2,FALSE),0)),15-11*$X$5)</f>
        <v>0.2223</v>
      </c>
      <c r="AA104" s="4"/>
    </row>
    <row r="105" spans="1:27" ht="25.5" x14ac:dyDescent="0.2">
      <c r="A105" t="str">
        <f t="shared" si="53"/>
        <v>S</v>
      </c>
      <c r="B105">
        <f t="shared" si="54"/>
        <v>0</v>
      </c>
      <c r="C105">
        <f t="shared" ca="1" si="55"/>
        <v>4</v>
      </c>
      <c r="D105">
        <f t="shared" ca="1" si="56"/>
        <v>4</v>
      </c>
      <c r="E105">
        <f t="shared" ca="1" si="57"/>
        <v>0</v>
      </c>
      <c r="F105">
        <f t="shared" ca="1" si="58"/>
        <v>0</v>
      </c>
      <c r="G105">
        <f t="shared" ca="1" si="59"/>
        <v>7</v>
      </c>
      <c r="H105">
        <f t="shared" ca="1" si="51"/>
        <v>0</v>
      </c>
      <c r="I105">
        <f t="shared" ca="1" si="52"/>
        <v>0</v>
      </c>
      <c r="J105" s="120" t="s">
        <v>103</v>
      </c>
      <c r="K105" s="162" t="str">
        <f t="shared" ca="1" si="60"/>
        <v>4.4.7.</v>
      </c>
      <c r="L105" s="209" t="s">
        <v>238</v>
      </c>
      <c r="M105" s="209" t="s">
        <v>363</v>
      </c>
      <c r="N105" s="230" t="s">
        <v>383</v>
      </c>
      <c r="O105" s="229" t="s">
        <v>245</v>
      </c>
      <c r="P105" s="232">
        <v>2</v>
      </c>
      <c r="Q105" s="228">
        <v>291.95999999999998</v>
      </c>
      <c r="R105" s="231" t="s">
        <v>7</v>
      </c>
      <c r="S105" s="121">
        <f t="shared" ca="1" si="61"/>
        <v>356.86</v>
      </c>
      <c r="T105" s="98">
        <f t="shared" ca="1" si="62"/>
        <v>713.72</v>
      </c>
      <c r="U105" s="13" t="str">
        <f t="shared" ca="1" si="63"/>
        <v>ACIMA REF.</v>
      </c>
      <c r="V105" s="4" t="str">
        <f ca="1">IF(OR($A105=0,$A105="S",$A105&gt;CFF!$A$9),"",MAX(V$12:OFFSET(V105,-1,0))+1)</f>
        <v/>
      </c>
      <c r="W105" s="9" t="str">
        <f t="shared" si="64"/>
        <v>SINAPI-100868</v>
      </c>
      <c r="X105" s="4" t="e">
        <f t="shared" ca="1" si="65"/>
        <v>#REF!</v>
      </c>
      <c r="Y105" s="121">
        <f ca="1">IF(Import.Desoneracao="sim",Referencia.Desonerado,Referencia.NaoDesonerado)</f>
        <v>0</v>
      </c>
      <c r="Z105" s="132">
        <f ca="1">ROUND(IF(ISNUMBER(R105),R105,IF(LEFT(R105,3)="BDI",HLOOKUP(R105,DADOS!$T$37:$X$38,2,FALSE),0)),15-11*$X$5)</f>
        <v>0.2223</v>
      </c>
      <c r="AA105" s="4"/>
    </row>
    <row r="106" spans="1:27" ht="25.5" x14ac:dyDescent="0.2">
      <c r="A106" t="str">
        <f t="shared" si="53"/>
        <v>S</v>
      </c>
      <c r="B106">
        <f t="shared" si="54"/>
        <v>0</v>
      </c>
      <c r="C106">
        <f t="shared" ca="1" si="55"/>
        <v>4</v>
      </c>
      <c r="D106">
        <f t="shared" ca="1" si="56"/>
        <v>4</v>
      </c>
      <c r="E106">
        <f t="shared" ca="1" si="57"/>
        <v>0</v>
      </c>
      <c r="F106">
        <f t="shared" ca="1" si="58"/>
        <v>0</v>
      </c>
      <c r="G106">
        <f t="shared" ca="1" si="59"/>
        <v>8</v>
      </c>
      <c r="H106">
        <f t="shared" ca="1" si="51"/>
        <v>0</v>
      </c>
      <c r="I106">
        <f t="shared" ca="1" si="52"/>
        <v>0</v>
      </c>
      <c r="J106" s="120" t="s">
        <v>103</v>
      </c>
      <c r="K106" s="162" t="str">
        <f t="shared" ca="1" si="60"/>
        <v>4.4.8.</v>
      </c>
      <c r="L106" s="209" t="s">
        <v>238</v>
      </c>
      <c r="M106" s="209" t="s">
        <v>364</v>
      </c>
      <c r="N106" s="230" t="s">
        <v>384</v>
      </c>
      <c r="O106" s="229" t="s">
        <v>245</v>
      </c>
      <c r="P106" s="232">
        <v>2</v>
      </c>
      <c r="Q106" s="228">
        <v>259.14</v>
      </c>
      <c r="R106" s="231" t="s">
        <v>7</v>
      </c>
      <c r="S106" s="121">
        <f t="shared" ca="1" si="61"/>
        <v>316.75</v>
      </c>
      <c r="T106" s="98">
        <f t="shared" ca="1" si="62"/>
        <v>633.5</v>
      </c>
      <c r="U106" s="13" t="str">
        <f t="shared" ca="1" si="63"/>
        <v>ACIMA REF.</v>
      </c>
      <c r="V106" s="4" t="str">
        <f ca="1">IF(OR($A106=0,$A106="S",$A106&gt;CFF!$A$9),"",MAX(V$12:OFFSET(V106,-1,0))+1)</f>
        <v/>
      </c>
      <c r="W106" s="9" t="str">
        <f t="shared" si="64"/>
        <v>SINAPI-100866</v>
      </c>
      <c r="X106" s="4" t="e">
        <f t="shared" ca="1" si="65"/>
        <v>#REF!</v>
      </c>
      <c r="Y106" s="121">
        <f ca="1">IF(Import.Desoneracao="sim",Referencia.Desonerado,Referencia.NaoDesonerado)</f>
        <v>0</v>
      </c>
      <c r="Z106" s="132">
        <f ca="1">ROUND(IF(ISNUMBER(R106),R106,IF(LEFT(R106,3)="BDI",HLOOKUP(R106,DADOS!$T$37:$X$38,2,FALSE),0)),15-11*$X$5)</f>
        <v>0.2223</v>
      </c>
      <c r="AA106" s="4"/>
    </row>
    <row r="107" spans="1:27" x14ac:dyDescent="0.2">
      <c r="A107" t="str">
        <f t="shared" si="53"/>
        <v>S</v>
      </c>
      <c r="B107">
        <f t="shared" si="54"/>
        <v>0</v>
      </c>
      <c r="C107">
        <f t="shared" ca="1" si="55"/>
        <v>4</v>
      </c>
      <c r="D107">
        <f t="shared" ca="1" si="56"/>
        <v>4</v>
      </c>
      <c r="E107">
        <f t="shared" ca="1" si="57"/>
        <v>0</v>
      </c>
      <c r="F107">
        <f t="shared" ca="1" si="58"/>
        <v>0</v>
      </c>
      <c r="G107">
        <f t="shared" ca="1" si="59"/>
        <v>9</v>
      </c>
      <c r="H107">
        <f t="shared" ca="1" si="51"/>
        <v>0</v>
      </c>
      <c r="I107">
        <f t="shared" ca="1" si="52"/>
        <v>0</v>
      </c>
      <c r="J107" s="120" t="s">
        <v>103</v>
      </c>
      <c r="K107" s="162" t="str">
        <f t="shared" ca="1" si="60"/>
        <v>4.4.9.</v>
      </c>
      <c r="L107" s="209" t="s">
        <v>240</v>
      </c>
      <c r="M107" s="209" t="s">
        <v>397</v>
      </c>
      <c r="N107" s="230" t="s">
        <v>405</v>
      </c>
      <c r="O107" s="229" t="s">
        <v>261</v>
      </c>
      <c r="P107" s="232">
        <v>16</v>
      </c>
      <c r="Q107" s="228">
        <v>25.9</v>
      </c>
      <c r="R107" s="231" t="s">
        <v>7</v>
      </c>
      <c r="S107" s="121">
        <f t="shared" ca="1" si="61"/>
        <v>31.66</v>
      </c>
      <c r="T107" s="98">
        <f t="shared" ca="1" si="62"/>
        <v>506.56</v>
      </c>
      <c r="U107" s="13" t="str">
        <f t="shared" ca="1" si="63"/>
        <v>ACIMA REF.</v>
      </c>
      <c r="V107" s="4" t="str">
        <f ca="1">IF(OR($A107=0,$A107="S",$A107&gt;CFF!$A$9),"",MAX(V$12:OFFSET(V107,-1,0))+1)</f>
        <v/>
      </c>
      <c r="W107" s="9" t="str">
        <f t="shared" si="64"/>
        <v>SINAPI-I-377</v>
      </c>
      <c r="X107" s="4" t="e">
        <f t="shared" ca="1" si="65"/>
        <v>#REF!</v>
      </c>
      <c r="Y107" s="121">
        <f ca="1">IF(Import.Desoneracao="sim",Referencia.Desonerado,Referencia.NaoDesonerado)</f>
        <v>0</v>
      </c>
      <c r="Z107" s="132">
        <f ca="1">ROUND(IF(ISNUMBER(R107),R107,IF(LEFT(R107,3)="BDI",HLOOKUP(R107,DADOS!$T$37:$X$38,2,FALSE),0)),15-11*$X$5)</f>
        <v>0.2223</v>
      </c>
      <c r="AA107" s="4"/>
    </row>
    <row r="108" spans="1:27" ht="25.5" x14ac:dyDescent="0.2">
      <c r="A108" t="str">
        <f t="shared" si="53"/>
        <v>S</v>
      </c>
      <c r="B108">
        <f t="shared" si="54"/>
        <v>0</v>
      </c>
      <c r="C108">
        <f t="shared" ca="1" si="55"/>
        <v>4</v>
      </c>
      <c r="D108">
        <f t="shared" ca="1" si="56"/>
        <v>4</v>
      </c>
      <c r="E108">
        <f t="shared" ca="1" si="57"/>
        <v>0</v>
      </c>
      <c r="F108">
        <f t="shared" ca="1" si="58"/>
        <v>0</v>
      </c>
      <c r="G108">
        <f t="shared" ca="1" si="59"/>
        <v>10</v>
      </c>
      <c r="H108">
        <f t="shared" ca="1" si="51"/>
        <v>0</v>
      </c>
      <c r="I108">
        <f t="shared" ca="1" si="52"/>
        <v>0</v>
      </c>
      <c r="J108" s="120" t="s">
        <v>103</v>
      </c>
      <c r="K108" s="162" t="str">
        <f t="shared" ca="1" si="60"/>
        <v>4.4.10.</v>
      </c>
      <c r="L108" s="209" t="s">
        <v>238</v>
      </c>
      <c r="M108" s="209" t="s">
        <v>413</v>
      </c>
      <c r="N108" s="230" t="s">
        <v>418</v>
      </c>
      <c r="O108" s="229" t="s">
        <v>245</v>
      </c>
      <c r="P108" s="232">
        <v>10</v>
      </c>
      <c r="Q108" s="228">
        <v>44.33</v>
      </c>
      <c r="R108" s="231" t="s">
        <v>7</v>
      </c>
      <c r="S108" s="121">
        <f t="shared" ca="1" si="61"/>
        <v>54.18</v>
      </c>
      <c r="T108" s="98">
        <f t="shared" ca="1" si="62"/>
        <v>541.79999999999995</v>
      </c>
      <c r="U108" s="13" t="str">
        <f t="shared" ca="1" si="63"/>
        <v>ACIMA REF.</v>
      </c>
      <c r="V108" s="4" t="str">
        <f ca="1">IF(OR($A108=0,$A108="S",$A108&gt;CFF!$A$9),"",MAX(V$12:OFFSET(V108,-1,0))+1)</f>
        <v/>
      </c>
      <c r="W108" s="9" t="str">
        <f t="shared" si="64"/>
        <v>SINAPI-95547</v>
      </c>
      <c r="X108" s="4" t="e">
        <f t="shared" ca="1" si="65"/>
        <v>#REF!</v>
      </c>
      <c r="Y108" s="121">
        <f ca="1">IF(Import.Desoneracao="sim",Referencia.Desonerado,Referencia.NaoDesonerado)</f>
        <v>0</v>
      </c>
      <c r="Z108" s="132">
        <f ca="1">ROUND(IF(ISNUMBER(R108),R108,IF(LEFT(R108,3)="BDI",HLOOKUP(R108,DADOS!$T$37:$X$38,2,FALSE),0)),15-11*$X$5)</f>
        <v>0.2223</v>
      </c>
      <c r="AA108" s="4"/>
    </row>
    <row r="109" spans="1:27" x14ac:dyDescent="0.2">
      <c r="A109" t="str">
        <f t="shared" si="53"/>
        <v>S</v>
      </c>
      <c r="B109">
        <f t="shared" si="54"/>
        <v>0</v>
      </c>
      <c r="C109">
        <f t="shared" ca="1" si="55"/>
        <v>4</v>
      </c>
      <c r="D109">
        <f t="shared" ca="1" si="56"/>
        <v>4</v>
      </c>
      <c r="E109">
        <f t="shared" ca="1" si="57"/>
        <v>0</v>
      </c>
      <c r="F109">
        <f t="shared" ca="1" si="58"/>
        <v>0</v>
      </c>
      <c r="G109">
        <f t="shared" ca="1" si="59"/>
        <v>11</v>
      </c>
      <c r="H109">
        <f t="shared" ref="H109:H133" ca="1" si="66">IF(OR($A109="S",$A109=0),0,MATCH(0,OFFSET($B109,1,$A109,ROW($A$134)-ROW($A109)),0))</f>
        <v>0</v>
      </c>
      <c r="I109">
        <f t="shared" ref="I109:I133" ca="1" si="67">IF(OR($A109="S",$A109=0),0,MATCH(OFFSET($B109,0,$A109)+1,OFFSET($B109,1,$A109,ROW($A$134)-ROW($A109)),0))</f>
        <v>0</v>
      </c>
      <c r="J109" s="120" t="s">
        <v>103</v>
      </c>
      <c r="K109" s="162" t="str">
        <f t="shared" ca="1" si="60"/>
        <v>4.4.11.</v>
      </c>
      <c r="L109" s="209" t="s">
        <v>240</v>
      </c>
      <c r="M109" s="209" t="s">
        <v>416</v>
      </c>
      <c r="N109" s="230" t="s">
        <v>419</v>
      </c>
      <c r="O109" s="229" t="s">
        <v>261</v>
      </c>
      <c r="P109" s="232">
        <v>10</v>
      </c>
      <c r="Q109" s="228">
        <v>37.950000000000003</v>
      </c>
      <c r="R109" s="231" t="s">
        <v>7</v>
      </c>
      <c r="S109" s="121">
        <f t="shared" ca="1" si="61"/>
        <v>46.39</v>
      </c>
      <c r="T109" s="98">
        <f t="shared" ca="1" si="62"/>
        <v>463.9</v>
      </c>
      <c r="U109" s="13" t="str">
        <f t="shared" ca="1" si="63"/>
        <v>ACIMA REF.</v>
      </c>
      <c r="V109" s="4" t="str">
        <f ca="1">IF(OR($A109=0,$A109="S",$A109&gt;CFF!$A$9),"",MAX(V$12:OFFSET(V109,-1,0))+1)</f>
        <v/>
      </c>
      <c r="W109" s="9" t="str">
        <f t="shared" si="64"/>
        <v>SINAPI-I-37401</v>
      </c>
      <c r="X109" s="4" t="e">
        <f t="shared" ca="1" si="65"/>
        <v>#REF!</v>
      </c>
      <c r="Y109" s="121">
        <f ca="1">IF(Import.Desoneracao="sim",Referencia.Desonerado,Referencia.NaoDesonerado)</f>
        <v>0</v>
      </c>
      <c r="Z109" s="132">
        <f ca="1">ROUND(IF(ISNUMBER(R109),R109,IF(LEFT(R109,3)="BDI",HLOOKUP(R109,DADOS!$T$37:$X$38,2,FALSE),0)),15-11*$X$5)</f>
        <v>0.2223</v>
      </c>
      <c r="AA109" s="4"/>
    </row>
    <row r="110" spans="1:27" x14ac:dyDescent="0.2">
      <c r="A110">
        <f t="shared" si="0"/>
        <v>2</v>
      </c>
      <c r="B110">
        <f t="shared" ca="1" si="1"/>
        <v>8</v>
      </c>
      <c r="C110">
        <f t="shared" ca="1" si="2"/>
        <v>4</v>
      </c>
      <c r="D110">
        <f t="shared" ca="1" si="3"/>
        <v>5</v>
      </c>
      <c r="E110">
        <f t="shared" ca="1" si="4"/>
        <v>0</v>
      </c>
      <c r="F110">
        <f t="shared" ca="1" si="5"/>
        <v>0</v>
      </c>
      <c r="G110">
        <f t="shared" ca="1" si="6"/>
        <v>0</v>
      </c>
      <c r="H110">
        <f t="shared" ca="1" si="66"/>
        <v>8</v>
      </c>
      <c r="I110" t="e">
        <f t="shared" ca="1" si="67"/>
        <v>#N/A</v>
      </c>
      <c r="J110" s="120" t="s">
        <v>100</v>
      </c>
      <c r="K110" s="162" t="str">
        <f t="shared" ca="1" si="9"/>
        <v>4.5.</v>
      </c>
      <c r="L110" s="209" t="s">
        <v>238</v>
      </c>
      <c r="M110" s="209"/>
      <c r="N110" s="230" t="s">
        <v>289</v>
      </c>
      <c r="O110" s="229" t="str">
        <f ca="1">Referencia.Unidade</f>
        <v/>
      </c>
      <c r="P110" s="232"/>
      <c r="Q110" s="228"/>
      <c r="R110" s="231" t="s">
        <v>7</v>
      </c>
      <c r="S110" s="121">
        <f t="shared" si="10"/>
        <v>0</v>
      </c>
      <c r="T110" s="98">
        <f t="shared" ca="1" si="11"/>
        <v>14064.58</v>
      </c>
      <c r="U110" s="13" t="str">
        <f t="shared" ca="1" si="12"/>
        <v/>
      </c>
      <c r="V110" s="4">
        <f ca="1">IF(OR($A110=0,$A110="S",$A110&gt;CFF!$A$9),"",MAX(V$12:OFFSET(V110,-1,0))+1)</f>
        <v>14</v>
      </c>
      <c r="W110" s="9" t="b">
        <f t="shared" si="13"/>
        <v>0</v>
      </c>
      <c r="X110" s="4" t="str">
        <f t="shared" ca="1" si="14"/>
        <v>X</v>
      </c>
      <c r="Y110" s="121">
        <f t="shared" ca="1" si="15"/>
        <v>0</v>
      </c>
      <c r="Z110" s="132">
        <f ca="1">ROUND(IF(ISNUMBER(R110),R110,IF(LEFT(R110,3)="BDI",HLOOKUP(R110,DADOS!$T$37:$X$38,2,FALSE),0)),15-11*$X$5)</f>
        <v>0.2223</v>
      </c>
      <c r="AA110" s="4"/>
    </row>
    <row r="111" spans="1:27" ht="51" x14ac:dyDescent="0.2">
      <c r="A111" t="str">
        <f t="shared" ref="A111:A113" si="68">CHOOSE(1+LOG(1+2*(J111="Meta")+4*(J111="Nível 2")+8*(J111="Nível 3")+16*(J111="Nível 4")+32*(J111="Serviço"),2),0,1,2,3,4,"S")</f>
        <v>S</v>
      </c>
      <c r="B111">
        <f t="shared" ref="B111:B113" si="69">IF(OR(A111="S",A111=0),0,IF(ISERROR(I111),H111,SMALL(H111:I111,1)))</f>
        <v>0</v>
      </c>
      <c r="C111">
        <f t="shared" ref="C111:C113" ca="1" si="70">IF($A111=1,OFFSET(C111,-1,0)+1,OFFSET(C111,-1,0))</f>
        <v>4</v>
      </c>
      <c r="D111">
        <f t="shared" ref="D111:D113" ca="1" si="71">IF($A111=1,0,IF($A111=2,OFFSET(D111,-1,0)+1,OFFSET(D111,-1,0)))</f>
        <v>5</v>
      </c>
      <c r="E111">
        <f t="shared" ref="E111:E113" ca="1" si="72">IF(AND($A111&lt;=2,$A111&lt;&gt;0),0,IF($A111=3,OFFSET(E111,-1,0)+1,OFFSET(E111,-1,0)))</f>
        <v>0</v>
      </c>
      <c r="F111">
        <f t="shared" ref="F111:F113" ca="1" si="73">IF(AND($A111&lt;=3,$A111&lt;&gt;0),0,IF($A111=4,OFFSET(F111,-1,0)+1,OFFSET(F111,-1,0)))</f>
        <v>0</v>
      </c>
      <c r="G111">
        <f t="shared" ref="G111:G113" ca="1" si="74">IF(AND($A111&lt;=4,$A111&lt;&gt;0),0,IF($A111="S",OFFSET(G111,-1,0)+1,OFFSET(G111,-1,0)))</f>
        <v>1</v>
      </c>
      <c r="H111">
        <f t="shared" ca="1" si="66"/>
        <v>0</v>
      </c>
      <c r="I111">
        <f t="shared" ca="1" si="67"/>
        <v>0</v>
      </c>
      <c r="J111" s="120" t="s">
        <v>103</v>
      </c>
      <c r="K111" s="162" t="str">
        <f t="shared" ref="K111:K113" ca="1" si="75">IF($A111=0,"-",CONCATENATE(C111&amp;".",IF(AND($A$5&gt;=2,$A111&gt;=2),D111&amp;".",""),IF(AND($A$5&gt;=3,$A111&gt;=3),E111&amp;".",""),IF(AND($A$5&gt;=4,$A111&gt;=4),F111&amp;".",""),IF($A111="S",G111&amp;".","")))</f>
        <v>4.5.1.</v>
      </c>
      <c r="L111" s="209" t="s">
        <v>238</v>
      </c>
      <c r="M111" s="209" t="s">
        <v>368</v>
      </c>
      <c r="N111" s="230" t="s">
        <v>387</v>
      </c>
      <c r="O111" s="229" t="s">
        <v>246</v>
      </c>
      <c r="P111" s="232">
        <v>60</v>
      </c>
      <c r="Q111" s="228">
        <v>21.31</v>
      </c>
      <c r="R111" s="231" t="s">
        <v>7</v>
      </c>
      <c r="S111" s="121">
        <f ca="1">IF($A111="S",IF($Q$10="Preço Unitário (R$)",PO.CustoUnitario,ROUND(PO.CustoUnitario*(1+$Z111),15-13*$X$6)),0)</f>
        <v>26.05</v>
      </c>
      <c r="T111" s="98">
        <f ca="1">IF($A111="S",VTOTAL1,IF($A111=0,0,ROUND(SomaAgrup,15-13*$X$7)))</f>
        <v>1563</v>
      </c>
      <c r="U111" s="13" t="str">
        <f t="shared" ref="U111:U113" ca="1" si="76">IF($J111="","",IF($N111="","DESCRIÇÃO",IF(AND($J111="Serviço",$O111=""),"UNIDADE",IF($T111&lt;=0,"SEM VALOR",IF(AND($Y111&lt;&gt;"",$Q111&gt;$Y111),"ACIMA REF.","")))))</f>
        <v>ACIMA REF.</v>
      </c>
      <c r="V111" s="4" t="str">
        <f ca="1">IF(OR($A111=0,$A111="S",$A111&gt;CFF!$A$9),"",MAX(V$12:OFFSET(V111,-1,0))+1)</f>
        <v/>
      </c>
      <c r="W111" s="9" t="str">
        <f t="shared" ref="W111:W113" si="77">IF(AND($J111="Serviço",$M111&lt;&gt;""),IF($L111="",$M111,CONCATENATE($L111,"-",$M111)))</f>
        <v>SINAPI-91786</v>
      </c>
      <c r="X111" s="4" t="e">
        <f ca="1">IF(AND(Fonte&lt;&gt;"",Código&lt;&gt;""),MATCH(Fonte&amp;" "&amp;IF(Fonte="sinapi",SUBSTITUTE(SUBSTITUTE(Código,"/00","/"),"/0","/"),Código),INDIRECT("'[Referência "&amp;_xlnm.Database&amp;".xls]Banco'!$a:$a"),0),"X")</f>
        <v>#REF!</v>
      </c>
      <c r="Y111" s="121">
        <f ca="1">IF(Import.Desoneracao="sim",Referencia.Desonerado,Referencia.NaoDesonerado)</f>
        <v>0</v>
      </c>
      <c r="Z111" s="132">
        <f ca="1">ROUND(IF(ISNUMBER(R111),R111,IF(LEFT(R111,3)="BDI",HLOOKUP(R111,DADOS!$T$37:$X$38,2,FALSE),0)),15-11*$X$5)</f>
        <v>0.2223</v>
      </c>
      <c r="AA111" s="4"/>
    </row>
    <row r="112" spans="1:27" ht="51" x14ac:dyDescent="0.2">
      <c r="A112" t="str">
        <f t="shared" si="68"/>
        <v>S</v>
      </c>
      <c r="B112">
        <f t="shared" si="69"/>
        <v>0</v>
      </c>
      <c r="C112">
        <f t="shared" ca="1" si="70"/>
        <v>4</v>
      </c>
      <c r="D112">
        <f t="shared" ca="1" si="71"/>
        <v>5</v>
      </c>
      <c r="E112">
        <f t="shared" ca="1" si="72"/>
        <v>0</v>
      </c>
      <c r="F112">
        <f t="shared" ca="1" si="73"/>
        <v>0</v>
      </c>
      <c r="G112">
        <f t="shared" ca="1" si="74"/>
        <v>2</v>
      </c>
      <c r="H112">
        <f t="shared" ca="1" si="66"/>
        <v>0</v>
      </c>
      <c r="I112">
        <f t="shared" ca="1" si="67"/>
        <v>0</v>
      </c>
      <c r="J112" s="120" t="s">
        <v>103</v>
      </c>
      <c r="K112" s="162" t="str">
        <f t="shared" ca="1" si="75"/>
        <v>4.5.2.</v>
      </c>
      <c r="L112" s="209" t="s">
        <v>238</v>
      </c>
      <c r="M112" s="209" t="s">
        <v>369</v>
      </c>
      <c r="N112" s="230" t="s">
        <v>388</v>
      </c>
      <c r="O112" s="229" t="s">
        <v>246</v>
      </c>
      <c r="P112" s="232">
        <v>20</v>
      </c>
      <c r="Q112" s="228">
        <v>32.11</v>
      </c>
      <c r="R112" s="231" t="s">
        <v>7</v>
      </c>
      <c r="S112" s="121">
        <f ca="1">IF($A112="S",IF($Q$10="Preço Unitário (R$)",PO.CustoUnitario,ROUND(PO.CustoUnitario*(1+$Z112),15-13*$X$6)),0)</f>
        <v>39.25</v>
      </c>
      <c r="T112" s="98">
        <f ca="1">IF($A112="S",VTOTAL1,IF($A112=0,0,ROUND(SomaAgrup,15-13*$X$7)))</f>
        <v>785</v>
      </c>
      <c r="U112" s="13" t="str">
        <f t="shared" ca="1" si="76"/>
        <v>ACIMA REF.</v>
      </c>
      <c r="V112" s="4" t="str">
        <f ca="1">IF(OR($A112=0,$A112="S",$A112&gt;CFF!$A$9),"",MAX(V$12:OFFSET(V112,-1,0))+1)</f>
        <v/>
      </c>
      <c r="W112" s="9" t="str">
        <f t="shared" si="77"/>
        <v>SINAPI-91785</v>
      </c>
      <c r="X112" s="4" t="e">
        <f ca="1">IF(AND(Fonte&lt;&gt;"",Código&lt;&gt;""),MATCH(Fonte&amp;" "&amp;IF(Fonte="sinapi",SUBSTITUTE(SUBSTITUTE(Código,"/00","/"),"/0","/"),Código),INDIRECT("'[Referência "&amp;_xlnm.Database&amp;".xls]Banco'!$a:$a"),0),"X")</f>
        <v>#REF!</v>
      </c>
      <c r="Y112" s="121">
        <f ca="1">IF(Import.Desoneracao="sim",Referencia.Desonerado,Referencia.NaoDesonerado)</f>
        <v>0</v>
      </c>
      <c r="Z112" s="132">
        <f ca="1">ROUND(IF(ISNUMBER(R112),R112,IF(LEFT(R112,3)="BDI",HLOOKUP(R112,DADOS!$T$37:$X$38,2,FALSE),0)),15-11*$X$5)</f>
        <v>0.2223</v>
      </c>
      <c r="AA112" s="4"/>
    </row>
    <row r="113" spans="1:27" ht="38.25" x14ac:dyDescent="0.2">
      <c r="A113" t="str">
        <f t="shared" si="68"/>
        <v>S</v>
      </c>
      <c r="B113">
        <f t="shared" si="69"/>
        <v>0</v>
      </c>
      <c r="C113">
        <f t="shared" ca="1" si="70"/>
        <v>4</v>
      </c>
      <c r="D113">
        <f t="shared" ca="1" si="71"/>
        <v>5</v>
      </c>
      <c r="E113">
        <f t="shared" ca="1" si="72"/>
        <v>0</v>
      </c>
      <c r="F113">
        <f t="shared" ca="1" si="73"/>
        <v>0</v>
      </c>
      <c r="G113">
        <f t="shared" ca="1" si="74"/>
        <v>3</v>
      </c>
      <c r="H113">
        <f t="shared" ca="1" si="66"/>
        <v>0</v>
      </c>
      <c r="I113">
        <f t="shared" ca="1" si="67"/>
        <v>0</v>
      </c>
      <c r="J113" s="120" t="s">
        <v>103</v>
      </c>
      <c r="K113" s="162" t="str">
        <f t="shared" ca="1" si="75"/>
        <v>4.5.3.</v>
      </c>
      <c r="L113" s="209" t="s">
        <v>238</v>
      </c>
      <c r="M113" s="209" t="s">
        <v>370</v>
      </c>
      <c r="N113" s="230" t="s">
        <v>389</v>
      </c>
      <c r="O113" s="229" t="s">
        <v>245</v>
      </c>
      <c r="P113" s="232">
        <v>10</v>
      </c>
      <c r="Q113" s="228">
        <v>50.03</v>
      </c>
      <c r="R113" s="231" t="s">
        <v>7</v>
      </c>
      <c r="S113" s="121">
        <f ca="1">IF($A113="S",IF($Q$10="Preço Unitário (R$)",PO.CustoUnitario,ROUND(PO.CustoUnitario*(1+$Z113),15-13*$X$6)),0)</f>
        <v>61.15</v>
      </c>
      <c r="T113" s="98">
        <f ca="1">IF($A113="S",VTOTAL1,IF($A113=0,0,ROUND(SomaAgrup,15-13*$X$7)))</f>
        <v>611.5</v>
      </c>
      <c r="U113" s="13" t="str">
        <f t="shared" ca="1" si="76"/>
        <v>ACIMA REF.</v>
      </c>
      <c r="V113" s="4" t="str">
        <f ca="1">IF(OR($A113=0,$A113="S",$A113&gt;CFF!$A$9),"",MAX(V$12:OFFSET(V113,-1,0))+1)</f>
        <v/>
      </c>
      <c r="W113" s="9" t="str">
        <f t="shared" si="77"/>
        <v>SINAPI-89972</v>
      </c>
      <c r="X113" s="4" t="e">
        <f ca="1">IF(AND(Fonte&lt;&gt;"",Código&lt;&gt;""),MATCH(Fonte&amp;" "&amp;IF(Fonte="sinapi",SUBSTITUTE(SUBSTITUTE(Código,"/00","/"),"/0","/"),Código),INDIRECT("'[Referência "&amp;_xlnm.Database&amp;".xls]Banco'!$a:$a"),0),"X")</f>
        <v>#REF!</v>
      </c>
      <c r="Y113" s="121">
        <f ca="1">IF(Import.Desoneracao="sim",Referencia.Desonerado,Referencia.NaoDesonerado)</f>
        <v>0</v>
      </c>
      <c r="Z113" s="132">
        <f ca="1">ROUND(IF(ISNUMBER(R113),R113,IF(LEFT(R113,3)="BDI",HLOOKUP(R113,DADOS!$T$37:$X$38,2,FALSE),0)),15-11*$X$5)</f>
        <v>0.2223</v>
      </c>
      <c r="AA113" s="4"/>
    </row>
    <row r="114" spans="1:27" ht="38.25" x14ac:dyDescent="0.2">
      <c r="A114" t="str">
        <f t="shared" ref="A114:A133" si="78">CHOOSE(1+LOG(1+2*(J114="Meta")+4*(J114="Nível 2")+8*(J114="Nível 3")+16*(J114="Nível 4")+32*(J114="Serviço"),2),0,1,2,3,4,"S")</f>
        <v>S</v>
      </c>
      <c r="B114">
        <f t="shared" ref="B114:B133" si="79">IF(OR(A114="S",A114=0),0,IF(ISERROR(I114),H114,SMALL(H114:I114,1)))</f>
        <v>0</v>
      </c>
      <c r="C114">
        <f t="shared" ref="C114:C133" ca="1" si="80">IF($A114=1,OFFSET(C114,-1,0)+1,OFFSET(C114,-1,0))</f>
        <v>4</v>
      </c>
      <c r="D114">
        <f t="shared" ref="D114:D133" ca="1" si="81">IF($A114=1,0,IF($A114=2,OFFSET(D114,-1,0)+1,OFFSET(D114,-1,0)))</f>
        <v>5</v>
      </c>
      <c r="E114">
        <f t="shared" ref="E114:E133" ca="1" si="82">IF(AND($A114&lt;=2,$A114&lt;&gt;0),0,IF($A114=3,OFFSET(E114,-1,0)+1,OFFSET(E114,-1,0)))</f>
        <v>0</v>
      </c>
      <c r="F114">
        <f t="shared" ref="F114:F133" ca="1" si="83">IF(AND($A114&lt;=3,$A114&lt;&gt;0),0,IF($A114=4,OFFSET(F114,-1,0)+1,OFFSET(F114,-1,0)))</f>
        <v>0</v>
      </c>
      <c r="G114">
        <f t="shared" ref="G114:G133" ca="1" si="84">IF(AND($A114&lt;=4,$A114&lt;&gt;0),0,IF($A114="S",OFFSET(G114,-1,0)+1,OFFSET(G114,-1,0)))</f>
        <v>4</v>
      </c>
      <c r="H114">
        <f t="shared" ca="1" si="66"/>
        <v>0</v>
      </c>
      <c r="I114">
        <f t="shared" ca="1" si="67"/>
        <v>0</v>
      </c>
      <c r="J114" s="120" t="s">
        <v>103</v>
      </c>
      <c r="K114" s="162" t="str">
        <f t="shared" ref="K114:K133" ca="1" si="85">IF($A114=0,"-",CONCATENATE(C114&amp;".",IF(AND($A$5&gt;=2,$A114&gt;=2),D114&amp;".",""),IF(AND($A$5&gt;=3,$A114&gt;=3),E114&amp;".",""),IF(AND($A$5&gt;=4,$A114&gt;=4),F114&amp;".",""),IF($A114="S",G114&amp;".","")))</f>
        <v>4.5.4.</v>
      </c>
      <c r="L114" s="209" t="s">
        <v>238</v>
      </c>
      <c r="M114" s="209" t="s">
        <v>290</v>
      </c>
      <c r="N114" s="230" t="s">
        <v>332</v>
      </c>
      <c r="O114" s="229" t="s">
        <v>245</v>
      </c>
      <c r="P114" s="232">
        <v>42</v>
      </c>
      <c r="Q114" s="228">
        <v>104.58</v>
      </c>
      <c r="R114" s="231" t="s">
        <v>7</v>
      </c>
      <c r="S114" s="121">
        <f t="shared" ref="S114:S133" ca="1" si="86">IF($A114="S",IF($Q$10="Preço Unitário (R$)",PO.CustoUnitario,ROUND(PO.CustoUnitario*(1+$Z114),15-13*$X$6)),0)</f>
        <v>127.83</v>
      </c>
      <c r="T114" s="98">
        <f t="shared" ref="T114:T133" ca="1" si="87">IF($A114="S",VTOTAL1,IF($A114=0,0,ROUND(SomaAgrup,15-13*$X$7)))</f>
        <v>5368.86</v>
      </c>
      <c r="U114" s="13" t="str">
        <f t="shared" ref="U114:U133" ca="1" si="88">IF($J114="","",IF($N114="","DESCRIÇÃO",IF(AND($J114="Serviço",$O114=""),"UNIDADE",IF($T114&lt;=0,"SEM VALOR",IF(AND($Y114&lt;&gt;"",$Q114&gt;$Y114),"ACIMA REF.","")))))</f>
        <v>ACIMA REF.</v>
      </c>
      <c r="V114" s="4" t="str">
        <f ca="1">IF(OR($A114=0,$A114="S",$A114&gt;CFF!$A$9),"",MAX(V$12:OFFSET(V114,-1,0))+1)</f>
        <v/>
      </c>
      <c r="W114" s="9" t="str">
        <f t="shared" ref="W114:W133" si="89">IF(AND($J114="Serviço",$M114&lt;&gt;""),IF($L114="",$M114,CONCATENATE($L114,"-",$M114)))</f>
        <v>SINAPI-89957</v>
      </c>
      <c r="X114" s="4" t="e">
        <f t="shared" ref="X114:X133" ca="1" si="90">IF(AND(Fonte&lt;&gt;"",Código&lt;&gt;""),MATCH(Fonte&amp;" "&amp;IF(Fonte="sinapi",SUBSTITUTE(SUBSTITUTE(Código,"/00","/"),"/0","/"),Código),INDIRECT("'[Referência "&amp;_xlnm.Database&amp;".xls]Banco'!$a:$a"),0),"X")</f>
        <v>#REF!</v>
      </c>
      <c r="Y114" s="121">
        <f ca="1">IF(Import.Desoneracao="sim",Referencia.Desonerado,Referencia.NaoDesonerado)</f>
        <v>0</v>
      </c>
      <c r="Z114" s="132">
        <f ca="1">ROUND(IF(ISNUMBER(R114),R114,IF(LEFT(R114,3)="BDI",HLOOKUP(R114,DADOS!$T$37:$X$38,2,FALSE),0)),15-11*$X$5)</f>
        <v>0.2223</v>
      </c>
      <c r="AA114" s="4"/>
    </row>
    <row r="115" spans="1:27" ht="25.5" x14ac:dyDescent="0.2">
      <c r="A115" t="str">
        <f t="shared" si="78"/>
        <v>S</v>
      </c>
      <c r="B115">
        <f t="shared" si="79"/>
        <v>0</v>
      </c>
      <c r="C115">
        <f t="shared" ca="1" si="80"/>
        <v>4</v>
      </c>
      <c r="D115">
        <f t="shared" ca="1" si="81"/>
        <v>5</v>
      </c>
      <c r="E115">
        <f t="shared" ca="1" si="82"/>
        <v>0</v>
      </c>
      <c r="F115">
        <f t="shared" ca="1" si="83"/>
        <v>0</v>
      </c>
      <c r="G115">
        <f t="shared" ca="1" si="84"/>
        <v>5</v>
      </c>
      <c r="H115">
        <f t="shared" ca="1" si="66"/>
        <v>0</v>
      </c>
      <c r="I115">
        <f t="shared" ca="1" si="67"/>
        <v>0</v>
      </c>
      <c r="J115" s="120" t="s">
        <v>103</v>
      </c>
      <c r="K115" s="162" t="str">
        <f t="shared" ca="1" si="85"/>
        <v>4.5.5.</v>
      </c>
      <c r="L115" s="209" t="s">
        <v>238</v>
      </c>
      <c r="M115" s="209" t="s">
        <v>291</v>
      </c>
      <c r="N115" s="230" t="s">
        <v>333</v>
      </c>
      <c r="O115" s="229" t="s">
        <v>245</v>
      </c>
      <c r="P115" s="232">
        <v>6</v>
      </c>
      <c r="Q115" s="228">
        <v>10.3</v>
      </c>
      <c r="R115" s="231" t="s">
        <v>7</v>
      </c>
      <c r="S115" s="121">
        <f t="shared" ca="1" si="86"/>
        <v>12.59</v>
      </c>
      <c r="T115" s="98">
        <f t="shared" ca="1" si="87"/>
        <v>75.540000000000006</v>
      </c>
      <c r="U115" s="13" t="str">
        <f t="shared" ca="1" si="88"/>
        <v>ACIMA REF.</v>
      </c>
      <c r="V115" s="4" t="str">
        <f ca="1">IF(OR($A115=0,$A115="S",$A115&gt;CFF!$A$9),"",MAX(V$12:OFFSET(V115,-1,0))+1)</f>
        <v/>
      </c>
      <c r="W115" s="9" t="str">
        <f t="shared" si="89"/>
        <v>SINAPI-89709</v>
      </c>
      <c r="X115" s="4" t="e">
        <f t="shared" ca="1" si="90"/>
        <v>#REF!</v>
      </c>
      <c r="Y115" s="121">
        <f ca="1">IF(Import.Desoneracao="sim",Referencia.Desonerado,Referencia.NaoDesonerado)</f>
        <v>0</v>
      </c>
      <c r="Z115" s="132">
        <f ca="1">ROUND(IF(ISNUMBER(R115),R115,IF(LEFT(R115,3)="BDI",HLOOKUP(R115,DADOS!$T$37:$X$38,2,FALSE),0)),15-11*$X$5)</f>
        <v>0.2223</v>
      </c>
      <c r="AA115" s="4"/>
    </row>
    <row r="116" spans="1:27" ht="51" x14ac:dyDescent="0.2">
      <c r="A116" t="str">
        <f t="shared" si="78"/>
        <v>S</v>
      </c>
      <c r="B116">
        <f t="shared" si="79"/>
        <v>0</v>
      </c>
      <c r="C116">
        <f t="shared" ca="1" si="80"/>
        <v>4</v>
      </c>
      <c r="D116">
        <f t="shared" ca="1" si="81"/>
        <v>5</v>
      </c>
      <c r="E116">
        <f t="shared" ca="1" si="82"/>
        <v>0</v>
      </c>
      <c r="F116">
        <f t="shared" ca="1" si="83"/>
        <v>0</v>
      </c>
      <c r="G116">
        <f t="shared" ca="1" si="84"/>
        <v>6</v>
      </c>
      <c r="H116">
        <f t="shared" ca="1" si="66"/>
        <v>0</v>
      </c>
      <c r="I116">
        <f t="shared" ca="1" si="67"/>
        <v>0</v>
      </c>
      <c r="J116" s="120" t="s">
        <v>103</v>
      </c>
      <c r="K116" s="162" t="str">
        <f t="shared" ca="1" si="85"/>
        <v>4.5.6.</v>
      </c>
      <c r="L116" s="209" t="s">
        <v>238</v>
      </c>
      <c r="M116" s="209" t="s">
        <v>371</v>
      </c>
      <c r="N116" s="230" t="s">
        <v>390</v>
      </c>
      <c r="O116" s="229" t="s">
        <v>246</v>
      </c>
      <c r="P116" s="232">
        <v>80</v>
      </c>
      <c r="Q116" s="228">
        <v>48.01</v>
      </c>
      <c r="R116" s="231" t="s">
        <v>7</v>
      </c>
      <c r="S116" s="121">
        <f t="shared" ca="1" si="86"/>
        <v>58.68</v>
      </c>
      <c r="T116" s="98">
        <f t="shared" ca="1" si="87"/>
        <v>4694.3999999999996</v>
      </c>
      <c r="U116" s="13" t="str">
        <f t="shared" ca="1" si="88"/>
        <v>ACIMA REF.</v>
      </c>
      <c r="V116" s="4" t="str">
        <f ca="1">IF(OR($A116=0,$A116="S",$A116&gt;CFF!$A$9),"",MAX(V$12:OFFSET(V116,-1,0))+1)</f>
        <v/>
      </c>
      <c r="W116" s="9" t="str">
        <f t="shared" si="89"/>
        <v>SINAPI-91795</v>
      </c>
      <c r="X116" s="4" t="e">
        <f t="shared" ca="1" si="90"/>
        <v>#REF!</v>
      </c>
      <c r="Y116" s="121">
        <f ca="1">IF(Import.Desoneracao="sim",Referencia.Desonerado,Referencia.NaoDesonerado)</f>
        <v>0</v>
      </c>
      <c r="Z116" s="132">
        <f ca="1">ROUND(IF(ISNUMBER(R116),R116,IF(LEFT(R116,3)="BDI",HLOOKUP(R116,DADOS!$T$37:$X$38,2,FALSE),0)),15-11*$X$5)</f>
        <v>0.2223</v>
      </c>
      <c r="AA116" s="4"/>
    </row>
    <row r="117" spans="1:27" ht="51" x14ac:dyDescent="0.2">
      <c r="A117" t="str">
        <f t="shared" si="78"/>
        <v>S</v>
      </c>
      <c r="B117">
        <f t="shared" si="79"/>
        <v>0</v>
      </c>
      <c r="C117">
        <f t="shared" ca="1" si="80"/>
        <v>4</v>
      </c>
      <c r="D117">
        <f t="shared" ca="1" si="81"/>
        <v>5</v>
      </c>
      <c r="E117">
        <f t="shared" ca="1" si="82"/>
        <v>0</v>
      </c>
      <c r="F117">
        <f t="shared" ca="1" si="83"/>
        <v>0</v>
      </c>
      <c r="G117">
        <f t="shared" ca="1" si="84"/>
        <v>7</v>
      </c>
      <c r="H117">
        <f t="shared" ca="1" si="66"/>
        <v>0</v>
      </c>
      <c r="I117">
        <f t="shared" ca="1" si="67"/>
        <v>0</v>
      </c>
      <c r="J117" s="120" t="s">
        <v>103</v>
      </c>
      <c r="K117" s="162" t="str">
        <f t="shared" ca="1" si="85"/>
        <v>4.5.7.</v>
      </c>
      <c r="L117" s="209" t="s">
        <v>238</v>
      </c>
      <c r="M117" s="209" t="s">
        <v>372</v>
      </c>
      <c r="N117" s="230" t="s">
        <v>391</v>
      </c>
      <c r="O117" s="229" t="s">
        <v>246</v>
      </c>
      <c r="P117" s="232">
        <v>28</v>
      </c>
      <c r="Q117" s="228">
        <v>28.23</v>
      </c>
      <c r="R117" s="231" t="s">
        <v>7</v>
      </c>
      <c r="S117" s="121">
        <f t="shared" ca="1" si="86"/>
        <v>34.51</v>
      </c>
      <c r="T117" s="98">
        <f t="shared" ca="1" si="87"/>
        <v>966.28</v>
      </c>
      <c r="U117" s="13" t="str">
        <f t="shared" ca="1" si="88"/>
        <v>ACIMA REF.</v>
      </c>
      <c r="V117" s="4" t="str">
        <f ca="1">IF(OR($A117=0,$A117="S",$A117&gt;CFF!$A$9),"",MAX(V$12:OFFSET(V117,-1,0))+1)</f>
        <v/>
      </c>
      <c r="W117" s="9" t="str">
        <f t="shared" si="89"/>
        <v>SINAPI-91794</v>
      </c>
      <c r="X117" s="4" t="e">
        <f t="shared" ca="1" si="90"/>
        <v>#REF!</v>
      </c>
      <c r="Y117" s="121">
        <f ca="1">IF(Import.Desoneracao="sim",Referencia.Desonerado,Referencia.NaoDesonerado)</f>
        <v>0</v>
      </c>
      <c r="Z117" s="132">
        <f ca="1">ROUND(IF(ISNUMBER(R117),R117,IF(LEFT(R117,3)="BDI",HLOOKUP(R117,DADOS!$T$37:$X$38,2,FALSE),0)),15-11*$X$5)</f>
        <v>0.2223</v>
      </c>
      <c r="AA117" s="4"/>
    </row>
    <row r="118" spans="1:27" x14ac:dyDescent="0.2">
      <c r="A118">
        <f t="shared" si="78"/>
        <v>1</v>
      </c>
      <c r="B118">
        <f t="shared" ca="1" si="79"/>
        <v>13</v>
      </c>
      <c r="C118">
        <f t="shared" ca="1" si="80"/>
        <v>5</v>
      </c>
      <c r="D118">
        <f t="shared" ca="1" si="81"/>
        <v>0</v>
      </c>
      <c r="E118">
        <f t="shared" ca="1" si="82"/>
        <v>0</v>
      </c>
      <c r="F118">
        <f t="shared" ca="1" si="83"/>
        <v>0</v>
      </c>
      <c r="G118">
        <f t="shared" ca="1" si="84"/>
        <v>0</v>
      </c>
      <c r="H118">
        <f t="shared" ca="1" si="66"/>
        <v>16</v>
      </c>
      <c r="I118">
        <f t="shared" ca="1" si="67"/>
        <v>13</v>
      </c>
      <c r="J118" s="120" t="s">
        <v>99</v>
      </c>
      <c r="K118" s="162" t="str">
        <f t="shared" ca="1" si="85"/>
        <v>5.</v>
      </c>
      <c r="L118" s="209" t="s">
        <v>238</v>
      </c>
      <c r="M118" s="209"/>
      <c r="N118" s="230" t="s">
        <v>249</v>
      </c>
      <c r="O118" s="229" t="str">
        <f ca="1">Referencia.Unidade</f>
        <v/>
      </c>
      <c r="P118" s="232"/>
      <c r="Q118" s="228"/>
      <c r="R118" s="231" t="s">
        <v>7</v>
      </c>
      <c r="S118" s="121">
        <f t="shared" si="86"/>
        <v>0</v>
      </c>
      <c r="T118" s="98">
        <f t="shared" ca="1" si="87"/>
        <v>27645.73</v>
      </c>
      <c r="U118" s="13" t="str">
        <f t="shared" ca="1" si="88"/>
        <v/>
      </c>
      <c r="V118" s="4">
        <f ca="1">IF(OR($A118=0,$A118="S",$A118&gt;CFF!$A$9),"",MAX(V$12:OFFSET(V118,-1,0))+1)</f>
        <v>15</v>
      </c>
      <c r="W118" s="9" t="b">
        <f t="shared" si="89"/>
        <v>0</v>
      </c>
      <c r="X118" s="4" t="str">
        <f t="shared" ca="1" si="90"/>
        <v>X</v>
      </c>
      <c r="Y118" s="121">
        <f ca="1">IF(Import.Desoneracao="sim",Referencia.Desonerado,Referencia.NaoDesonerado)</f>
        <v>0</v>
      </c>
      <c r="Z118" s="132">
        <f ca="1">ROUND(IF(ISNUMBER(R118),R118,IF(LEFT(R118,3)="BDI",HLOOKUP(R118,DADOS!$T$37:$X$38,2,FALSE),0)),15-11*$X$5)</f>
        <v>0.2223</v>
      </c>
      <c r="AA118" s="4"/>
    </row>
    <row r="119" spans="1:27" ht="25.5" x14ac:dyDescent="0.2">
      <c r="A119" t="str">
        <f t="shared" si="78"/>
        <v>S</v>
      </c>
      <c r="B119">
        <f t="shared" si="79"/>
        <v>0</v>
      </c>
      <c r="C119">
        <f t="shared" ca="1" si="80"/>
        <v>5</v>
      </c>
      <c r="D119">
        <f t="shared" ca="1" si="81"/>
        <v>0</v>
      </c>
      <c r="E119">
        <f t="shared" ca="1" si="82"/>
        <v>0</v>
      </c>
      <c r="F119">
        <f t="shared" ca="1" si="83"/>
        <v>0</v>
      </c>
      <c r="G119">
        <f t="shared" ca="1" si="84"/>
        <v>1</v>
      </c>
      <c r="H119">
        <f t="shared" ca="1" si="66"/>
        <v>0</v>
      </c>
      <c r="I119">
        <f t="shared" ca="1" si="67"/>
        <v>0</v>
      </c>
      <c r="J119" s="120" t="s">
        <v>103</v>
      </c>
      <c r="K119" s="162" t="str">
        <f t="shared" ca="1" si="85"/>
        <v>5.0.1.</v>
      </c>
      <c r="L119" s="209" t="s">
        <v>238</v>
      </c>
      <c r="M119" s="209" t="s">
        <v>251</v>
      </c>
      <c r="N119" s="230" t="s">
        <v>262</v>
      </c>
      <c r="O119" s="229" t="s">
        <v>244</v>
      </c>
      <c r="P119" s="232">
        <v>57.59</v>
      </c>
      <c r="Q119" s="228">
        <v>3.96</v>
      </c>
      <c r="R119" s="231" t="s">
        <v>7</v>
      </c>
      <c r="S119" s="121">
        <f t="shared" ca="1" si="86"/>
        <v>4.84</v>
      </c>
      <c r="T119" s="98">
        <f t="shared" ca="1" si="87"/>
        <v>278.74</v>
      </c>
      <c r="U119" s="13" t="str">
        <f t="shared" ca="1" si="88"/>
        <v>ACIMA REF.</v>
      </c>
      <c r="V119" s="4" t="str">
        <f ca="1">IF(OR($A119=0,$A119="S",$A119&gt;CFF!$A$9),"",MAX(V$12:OFFSET(V119,-1,0))+1)</f>
        <v/>
      </c>
      <c r="W119" s="9" t="str">
        <f t="shared" si="89"/>
        <v>SINAPI-83336</v>
      </c>
      <c r="X119" s="4" t="e">
        <f t="shared" ca="1" si="90"/>
        <v>#REF!</v>
      </c>
      <c r="Y119" s="121">
        <f ca="1">IF(Import.Desoneracao="sim",Referencia.Desonerado,Referencia.NaoDesonerado)</f>
        <v>0</v>
      </c>
      <c r="Z119" s="132">
        <f ca="1">ROUND(IF(ISNUMBER(R119),R119,IF(LEFT(R119,3)="BDI",HLOOKUP(R119,DADOS!$T$37:$X$38,2,FALSE),0)),15-11*$X$5)</f>
        <v>0.2223</v>
      </c>
      <c r="AA119" s="4"/>
    </row>
    <row r="120" spans="1:27" ht="25.5" x14ac:dyDescent="0.2">
      <c r="A120" t="str">
        <f t="shared" si="78"/>
        <v>S</v>
      </c>
      <c r="B120">
        <f t="shared" si="79"/>
        <v>0</v>
      </c>
      <c r="C120">
        <f t="shared" ca="1" si="80"/>
        <v>5</v>
      </c>
      <c r="D120">
        <f t="shared" ca="1" si="81"/>
        <v>0</v>
      </c>
      <c r="E120">
        <f t="shared" ca="1" si="82"/>
        <v>0</v>
      </c>
      <c r="F120">
        <f t="shared" ca="1" si="83"/>
        <v>0</v>
      </c>
      <c r="G120">
        <f t="shared" ca="1" si="84"/>
        <v>2</v>
      </c>
      <c r="H120">
        <f t="shared" ca="1" si="66"/>
        <v>0</v>
      </c>
      <c r="I120">
        <f t="shared" ca="1" si="67"/>
        <v>0</v>
      </c>
      <c r="J120" s="120" t="s">
        <v>103</v>
      </c>
      <c r="K120" s="162" t="str">
        <f t="shared" ca="1" si="85"/>
        <v>5.0.2.</v>
      </c>
      <c r="L120" s="209" t="s">
        <v>238</v>
      </c>
      <c r="M120" s="209" t="s">
        <v>252</v>
      </c>
      <c r="N120" s="230" t="s">
        <v>334</v>
      </c>
      <c r="O120" s="229" t="s">
        <v>243</v>
      </c>
      <c r="P120" s="232">
        <v>6.4</v>
      </c>
      <c r="Q120" s="228">
        <v>101.63</v>
      </c>
      <c r="R120" s="231" t="s">
        <v>7</v>
      </c>
      <c r="S120" s="121">
        <f t="shared" ca="1" si="86"/>
        <v>124.22</v>
      </c>
      <c r="T120" s="98">
        <f t="shared" ca="1" si="87"/>
        <v>795.01</v>
      </c>
      <c r="U120" s="13" t="str">
        <f t="shared" ca="1" si="88"/>
        <v>ACIMA REF.</v>
      </c>
      <c r="V120" s="4" t="str">
        <f ca="1">IF(OR($A120=0,$A120="S",$A120&gt;CFF!$A$9),"",MAX(V$12:OFFSET(V120,-1,0))+1)</f>
        <v/>
      </c>
      <c r="W120" s="9" t="str">
        <f t="shared" si="89"/>
        <v>SINAPI-96535</v>
      </c>
      <c r="X120" s="4" t="e">
        <f t="shared" ca="1" si="90"/>
        <v>#REF!</v>
      </c>
      <c r="Y120" s="121">
        <f ca="1">IF(Import.Desoneracao="sim",Referencia.Desonerado,Referencia.NaoDesonerado)</f>
        <v>0</v>
      </c>
      <c r="Z120" s="132">
        <f ca="1">ROUND(IF(ISNUMBER(R120),R120,IF(LEFT(R120,3)="BDI",HLOOKUP(R120,DADOS!$T$37:$X$38,2,FALSE),0)),15-11*$X$5)</f>
        <v>0.2223</v>
      </c>
      <c r="AA120" s="4"/>
    </row>
    <row r="121" spans="1:27" ht="38.25" x14ac:dyDescent="0.2">
      <c r="A121" t="str">
        <f t="shared" si="78"/>
        <v>S</v>
      </c>
      <c r="B121">
        <f t="shared" si="79"/>
        <v>0</v>
      </c>
      <c r="C121">
        <f t="shared" ca="1" si="80"/>
        <v>5</v>
      </c>
      <c r="D121">
        <f t="shared" ca="1" si="81"/>
        <v>0</v>
      </c>
      <c r="E121">
        <f t="shared" ca="1" si="82"/>
        <v>0</v>
      </c>
      <c r="F121">
        <f t="shared" ca="1" si="83"/>
        <v>0</v>
      </c>
      <c r="G121">
        <f t="shared" ca="1" si="84"/>
        <v>3</v>
      </c>
      <c r="H121">
        <f t="shared" ca="1" si="66"/>
        <v>0</v>
      </c>
      <c r="I121">
        <f t="shared" ca="1" si="67"/>
        <v>0</v>
      </c>
      <c r="J121" s="120" t="s">
        <v>103</v>
      </c>
      <c r="K121" s="162" t="str">
        <f t="shared" ca="1" si="85"/>
        <v>5.0.3.</v>
      </c>
      <c r="L121" s="209" t="s">
        <v>238</v>
      </c>
      <c r="M121" s="209" t="s">
        <v>253</v>
      </c>
      <c r="N121" s="230" t="s">
        <v>335</v>
      </c>
      <c r="O121" s="229" t="s">
        <v>243</v>
      </c>
      <c r="P121" s="232">
        <v>17.78</v>
      </c>
      <c r="Q121" s="228">
        <v>59.01</v>
      </c>
      <c r="R121" s="231" t="s">
        <v>7</v>
      </c>
      <c r="S121" s="121">
        <f t="shared" ca="1" si="86"/>
        <v>72.13</v>
      </c>
      <c r="T121" s="98">
        <f t="shared" ca="1" si="87"/>
        <v>1282.47</v>
      </c>
      <c r="U121" s="13" t="str">
        <f t="shared" ca="1" si="88"/>
        <v>ACIMA REF.</v>
      </c>
      <c r="V121" s="4" t="str">
        <f ca="1">IF(OR($A121=0,$A121="S",$A121&gt;CFF!$A$9),"",MAX(V$12:OFFSET(V121,-1,0))+1)</f>
        <v/>
      </c>
      <c r="W121" s="9" t="str">
        <f t="shared" si="89"/>
        <v>SINAPI-92419</v>
      </c>
      <c r="X121" s="4" t="e">
        <f t="shared" ca="1" si="90"/>
        <v>#REF!</v>
      </c>
      <c r="Y121" s="121">
        <f ca="1">IF(Import.Desoneracao="sim",Referencia.Desonerado,Referencia.NaoDesonerado)</f>
        <v>0</v>
      </c>
      <c r="Z121" s="132">
        <f ca="1">ROUND(IF(ISNUMBER(R121),R121,IF(LEFT(R121,3)="BDI",HLOOKUP(R121,DADOS!$T$37:$X$38,2,FALSE),0)),15-11*$X$5)</f>
        <v>0.2223</v>
      </c>
      <c r="AA121" s="4"/>
    </row>
    <row r="122" spans="1:27" ht="25.5" x14ac:dyDescent="0.2">
      <c r="A122" t="str">
        <f t="shared" si="78"/>
        <v>S</v>
      </c>
      <c r="B122">
        <f t="shared" si="79"/>
        <v>0</v>
      </c>
      <c r="C122">
        <f t="shared" ca="1" si="80"/>
        <v>5</v>
      </c>
      <c r="D122">
        <f t="shared" ca="1" si="81"/>
        <v>0</v>
      </c>
      <c r="E122">
        <f t="shared" ca="1" si="82"/>
        <v>0</v>
      </c>
      <c r="F122">
        <f t="shared" ca="1" si="83"/>
        <v>0</v>
      </c>
      <c r="G122">
        <f t="shared" ca="1" si="84"/>
        <v>4</v>
      </c>
      <c r="H122">
        <f t="shared" ca="1" si="66"/>
        <v>0</v>
      </c>
      <c r="I122">
        <f t="shared" ca="1" si="67"/>
        <v>0</v>
      </c>
      <c r="J122" s="120" t="s">
        <v>103</v>
      </c>
      <c r="K122" s="162" t="str">
        <f t="shared" ca="1" si="85"/>
        <v>5.0.4.</v>
      </c>
      <c r="L122" s="209" t="s">
        <v>238</v>
      </c>
      <c r="M122" s="209" t="s">
        <v>254</v>
      </c>
      <c r="N122" s="230" t="s">
        <v>336</v>
      </c>
      <c r="O122" s="229" t="s">
        <v>243</v>
      </c>
      <c r="P122" s="232">
        <v>108.36</v>
      </c>
      <c r="Q122" s="228">
        <v>24.39</v>
      </c>
      <c r="R122" s="231" t="s">
        <v>7</v>
      </c>
      <c r="S122" s="121">
        <f t="shared" ca="1" si="86"/>
        <v>29.81</v>
      </c>
      <c r="T122" s="98">
        <f t="shared" ca="1" si="87"/>
        <v>3230.21</v>
      </c>
      <c r="U122" s="13" t="str">
        <f t="shared" ca="1" si="88"/>
        <v>ACIMA REF.</v>
      </c>
      <c r="V122" s="4" t="str">
        <f ca="1">IF(OR($A122=0,$A122="S",$A122&gt;CFF!$A$9),"",MAX(V$12:OFFSET(V122,-1,0))+1)</f>
        <v/>
      </c>
      <c r="W122" s="9" t="str">
        <f t="shared" si="89"/>
        <v>SINAPI-100341</v>
      </c>
      <c r="X122" s="4" t="e">
        <f t="shared" ca="1" si="90"/>
        <v>#REF!</v>
      </c>
      <c r="Y122" s="121">
        <f ca="1">IF(Import.Desoneracao="sim",Referencia.Desonerado,Referencia.NaoDesonerado)</f>
        <v>0</v>
      </c>
      <c r="Z122" s="132">
        <f ca="1">ROUND(IF(ISNUMBER(R122),R122,IF(LEFT(R122,3)="BDI",HLOOKUP(R122,DADOS!$T$37:$X$38,2,FALSE),0)),15-11*$X$5)</f>
        <v>0.2223</v>
      </c>
      <c r="AA122" s="4"/>
    </row>
    <row r="123" spans="1:27" ht="25.5" x14ac:dyDescent="0.2">
      <c r="A123" t="str">
        <f t="shared" si="78"/>
        <v>S</v>
      </c>
      <c r="B123">
        <f t="shared" si="79"/>
        <v>0</v>
      </c>
      <c r="C123">
        <f t="shared" ca="1" si="80"/>
        <v>5</v>
      </c>
      <c r="D123">
        <f t="shared" ca="1" si="81"/>
        <v>0</v>
      </c>
      <c r="E123">
        <f t="shared" ca="1" si="82"/>
        <v>0</v>
      </c>
      <c r="F123">
        <f t="shared" ca="1" si="83"/>
        <v>0</v>
      </c>
      <c r="G123">
        <f t="shared" ca="1" si="84"/>
        <v>5</v>
      </c>
      <c r="H123">
        <f t="shared" ca="1" si="66"/>
        <v>0</v>
      </c>
      <c r="I123">
        <f t="shared" ca="1" si="67"/>
        <v>0</v>
      </c>
      <c r="J123" s="120" t="s">
        <v>103</v>
      </c>
      <c r="K123" s="162" t="str">
        <f t="shared" ca="1" si="85"/>
        <v>5.0.5.</v>
      </c>
      <c r="L123" s="209" t="s">
        <v>238</v>
      </c>
      <c r="M123" s="209" t="s">
        <v>255</v>
      </c>
      <c r="N123" s="230" t="s">
        <v>337</v>
      </c>
      <c r="O123" s="229" t="s">
        <v>243</v>
      </c>
      <c r="P123" s="232">
        <v>21.33</v>
      </c>
      <c r="Q123" s="228">
        <v>13.23</v>
      </c>
      <c r="R123" s="231" t="s">
        <v>7</v>
      </c>
      <c r="S123" s="121">
        <f t="shared" ca="1" si="86"/>
        <v>16.170000000000002</v>
      </c>
      <c r="T123" s="98">
        <f t="shared" ca="1" si="87"/>
        <v>344.91</v>
      </c>
      <c r="U123" s="13" t="str">
        <f t="shared" ca="1" si="88"/>
        <v>ACIMA REF.</v>
      </c>
      <c r="V123" s="4" t="str">
        <f ca="1">IF(OR($A123=0,$A123="S",$A123&gt;CFF!$A$9),"",MAX(V$12:OFFSET(V123,-1,0))+1)</f>
        <v/>
      </c>
      <c r="W123" s="9" t="str">
        <f t="shared" si="89"/>
        <v>SINAPI-96617</v>
      </c>
      <c r="X123" s="4" t="e">
        <f t="shared" ca="1" si="90"/>
        <v>#REF!</v>
      </c>
      <c r="Y123" s="121">
        <f ca="1">IF(Import.Desoneracao="sim",Referencia.Desonerado,Referencia.NaoDesonerado)</f>
        <v>0</v>
      </c>
      <c r="Z123" s="132">
        <f ca="1">ROUND(IF(ISNUMBER(R123),R123,IF(LEFT(R123,3)="BDI",HLOOKUP(R123,DADOS!$T$37:$X$38,2,FALSE),0)),15-11*$X$5)</f>
        <v>0.2223</v>
      </c>
      <c r="AA123" s="4"/>
    </row>
    <row r="124" spans="1:27" ht="25.5" x14ac:dyDescent="0.2">
      <c r="A124" t="str">
        <f t="shared" si="78"/>
        <v>S</v>
      </c>
      <c r="B124">
        <f t="shared" si="79"/>
        <v>0</v>
      </c>
      <c r="C124">
        <f t="shared" ca="1" si="80"/>
        <v>5</v>
      </c>
      <c r="D124">
        <f t="shared" ca="1" si="81"/>
        <v>0</v>
      </c>
      <c r="E124">
        <f t="shared" ca="1" si="82"/>
        <v>0</v>
      </c>
      <c r="F124">
        <f t="shared" ca="1" si="83"/>
        <v>0</v>
      </c>
      <c r="G124">
        <f t="shared" ca="1" si="84"/>
        <v>6</v>
      </c>
      <c r="H124">
        <f t="shared" ca="1" si="66"/>
        <v>0</v>
      </c>
      <c r="I124">
        <f t="shared" ca="1" si="67"/>
        <v>0</v>
      </c>
      <c r="J124" s="120" t="s">
        <v>103</v>
      </c>
      <c r="K124" s="162" t="str">
        <f t="shared" ca="1" si="85"/>
        <v>5.0.6.</v>
      </c>
      <c r="L124" s="209" t="s">
        <v>238</v>
      </c>
      <c r="M124" s="209" t="s">
        <v>256</v>
      </c>
      <c r="N124" s="230" t="s">
        <v>338</v>
      </c>
      <c r="O124" s="229" t="s">
        <v>263</v>
      </c>
      <c r="P124" s="232">
        <v>1113.6300000000001</v>
      </c>
      <c r="Q124" s="228">
        <v>7.5</v>
      </c>
      <c r="R124" s="231" t="s">
        <v>7</v>
      </c>
      <c r="S124" s="121">
        <f t="shared" ca="1" si="86"/>
        <v>9.17</v>
      </c>
      <c r="T124" s="98">
        <f t="shared" ca="1" si="87"/>
        <v>10211.99</v>
      </c>
      <c r="U124" s="13" t="str">
        <f t="shared" ca="1" si="88"/>
        <v>ACIMA REF.</v>
      </c>
      <c r="V124" s="4" t="str">
        <f ca="1">IF(OR($A124=0,$A124="S",$A124&gt;CFF!$A$9),"",MAX(V$12:OFFSET(V124,-1,0))+1)</f>
        <v/>
      </c>
      <c r="W124" s="9" t="str">
        <f t="shared" si="89"/>
        <v>SINAPI-100344</v>
      </c>
      <c r="X124" s="4" t="e">
        <f t="shared" ca="1" si="90"/>
        <v>#REF!</v>
      </c>
      <c r="Y124" s="121">
        <f ca="1">IF(Import.Desoneracao="sim",Referencia.Desonerado,Referencia.NaoDesonerado)</f>
        <v>0</v>
      </c>
      <c r="Z124" s="132">
        <f ca="1">ROUND(IF(ISNUMBER(R124),R124,IF(LEFT(R124,3)="BDI",HLOOKUP(R124,DADOS!$T$37:$X$38,2,FALSE),0)),15-11*$X$5)</f>
        <v>0.2223</v>
      </c>
      <c r="AA124" s="4"/>
    </row>
    <row r="125" spans="1:27" ht="38.25" x14ac:dyDescent="0.2">
      <c r="A125" t="str">
        <f t="shared" si="78"/>
        <v>S</v>
      </c>
      <c r="B125">
        <f t="shared" si="79"/>
        <v>0</v>
      </c>
      <c r="C125">
        <f t="shared" ca="1" si="80"/>
        <v>5</v>
      </c>
      <c r="D125">
        <f t="shared" ca="1" si="81"/>
        <v>0</v>
      </c>
      <c r="E125">
        <f t="shared" ca="1" si="82"/>
        <v>0</v>
      </c>
      <c r="F125">
        <f t="shared" ca="1" si="83"/>
        <v>0</v>
      </c>
      <c r="G125">
        <f t="shared" ca="1" si="84"/>
        <v>7</v>
      </c>
      <c r="H125">
        <f t="shared" ca="1" si="66"/>
        <v>0</v>
      </c>
      <c r="I125">
        <f t="shared" ca="1" si="67"/>
        <v>0</v>
      </c>
      <c r="J125" s="120" t="s">
        <v>103</v>
      </c>
      <c r="K125" s="162" t="str">
        <f t="shared" ca="1" si="85"/>
        <v>5.0.7.</v>
      </c>
      <c r="L125" s="209" t="s">
        <v>238</v>
      </c>
      <c r="M125" s="209" t="s">
        <v>257</v>
      </c>
      <c r="N125" s="230" t="s">
        <v>339</v>
      </c>
      <c r="O125" s="229" t="s">
        <v>263</v>
      </c>
      <c r="P125" s="232">
        <v>62.8</v>
      </c>
      <c r="Q125" s="228">
        <v>6.83</v>
      </c>
      <c r="R125" s="231" t="s">
        <v>7</v>
      </c>
      <c r="S125" s="121">
        <f t="shared" ca="1" si="86"/>
        <v>8.35</v>
      </c>
      <c r="T125" s="98">
        <f t="shared" ca="1" si="87"/>
        <v>524.38</v>
      </c>
      <c r="U125" s="13" t="str">
        <f t="shared" ca="1" si="88"/>
        <v>ACIMA REF.</v>
      </c>
      <c r="V125" s="4" t="str">
        <f ca="1">IF(OR($A125=0,$A125="S",$A125&gt;CFF!$A$9),"",MAX(V$12:OFFSET(V125,-1,0))+1)</f>
        <v/>
      </c>
      <c r="W125" s="9" t="str">
        <f t="shared" si="89"/>
        <v>SINAPI-92779</v>
      </c>
      <c r="X125" s="4" t="e">
        <f t="shared" ca="1" si="90"/>
        <v>#REF!</v>
      </c>
      <c r="Y125" s="121">
        <f ca="1">IF(Import.Desoneracao="sim",Referencia.Desonerado,Referencia.NaoDesonerado)</f>
        <v>0</v>
      </c>
      <c r="Z125" s="132">
        <f ca="1">ROUND(IF(ISNUMBER(R125),R125,IF(LEFT(R125,3)="BDI",HLOOKUP(R125,DADOS!$T$37:$X$38,2,FALSE),0)),15-11*$X$5)</f>
        <v>0.2223</v>
      </c>
      <c r="AA125" s="4"/>
    </row>
    <row r="126" spans="1:27" ht="38.25" x14ac:dyDescent="0.2">
      <c r="A126" t="str">
        <f t="shared" si="78"/>
        <v>S</v>
      </c>
      <c r="B126">
        <f t="shared" si="79"/>
        <v>0</v>
      </c>
      <c r="C126">
        <f t="shared" ca="1" si="80"/>
        <v>5</v>
      </c>
      <c r="D126">
        <f t="shared" ca="1" si="81"/>
        <v>0</v>
      </c>
      <c r="E126">
        <f t="shared" ca="1" si="82"/>
        <v>0</v>
      </c>
      <c r="F126">
        <f t="shared" ca="1" si="83"/>
        <v>0</v>
      </c>
      <c r="G126">
        <f t="shared" ca="1" si="84"/>
        <v>8</v>
      </c>
      <c r="H126">
        <f t="shared" ca="1" si="66"/>
        <v>0</v>
      </c>
      <c r="I126">
        <f t="shared" ca="1" si="67"/>
        <v>0</v>
      </c>
      <c r="J126" s="120" t="s">
        <v>103</v>
      </c>
      <c r="K126" s="162" t="str">
        <f t="shared" ca="1" si="85"/>
        <v>5.0.8.</v>
      </c>
      <c r="L126" s="209" t="s">
        <v>238</v>
      </c>
      <c r="M126" s="209" t="s">
        <v>258</v>
      </c>
      <c r="N126" s="230" t="s">
        <v>340</v>
      </c>
      <c r="O126" s="229" t="s">
        <v>263</v>
      </c>
      <c r="P126" s="232">
        <v>31.86</v>
      </c>
      <c r="Q126" s="228">
        <v>10.76</v>
      </c>
      <c r="R126" s="231" t="s">
        <v>7</v>
      </c>
      <c r="S126" s="121">
        <f t="shared" ca="1" si="86"/>
        <v>13.15</v>
      </c>
      <c r="T126" s="98">
        <f t="shared" ca="1" si="87"/>
        <v>418.96</v>
      </c>
      <c r="U126" s="13" t="str">
        <f t="shared" ca="1" si="88"/>
        <v>ACIMA REF.</v>
      </c>
      <c r="V126" s="4" t="str">
        <f ca="1">IF(OR($A126=0,$A126="S",$A126&gt;CFF!$A$9),"",MAX(V$12:OFFSET(V126,-1,0))+1)</f>
        <v/>
      </c>
      <c r="W126" s="9" t="str">
        <f t="shared" si="89"/>
        <v>SINAPI-92776</v>
      </c>
      <c r="X126" s="4" t="e">
        <f t="shared" ca="1" si="90"/>
        <v>#REF!</v>
      </c>
      <c r="Y126" s="121">
        <f ca="1">IF(Import.Desoneracao="sim",Referencia.Desonerado,Referencia.NaoDesonerado)</f>
        <v>0</v>
      </c>
      <c r="Z126" s="132">
        <f ca="1">ROUND(IF(ISNUMBER(R126),R126,IF(LEFT(R126,3)="BDI",HLOOKUP(R126,DADOS!$T$37:$X$38,2,FALSE),0)),15-11*$X$5)</f>
        <v>0.2223</v>
      </c>
      <c r="AA126" s="4"/>
    </row>
    <row r="127" spans="1:27" ht="25.5" x14ac:dyDescent="0.2">
      <c r="A127" t="str">
        <f t="shared" si="78"/>
        <v>S</v>
      </c>
      <c r="B127">
        <f t="shared" si="79"/>
        <v>0</v>
      </c>
      <c r="C127">
        <f t="shared" ca="1" si="80"/>
        <v>5</v>
      </c>
      <c r="D127">
        <f t="shared" ca="1" si="81"/>
        <v>0</v>
      </c>
      <c r="E127">
        <f t="shared" ca="1" si="82"/>
        <v>0</v>
      </c>
      <c r="F127">
        <f t="shared" ca="1" si="83"/>
        <v>0</v>
      </c>
      <c r="G127">
        <f t="shared" ca="1" si="84"/>
        <v>9</v>
      </c>
      <c r="H127">
        <f t="shared" ca="1" si="66"/>
        <v>0</v>
      </c>
      <c r="I127">
        <f t="shared" ca="1" si="67"/>
        <v>0</v>
      </c>
      <c r="J127" s="120" t="s">
        <v>103</v>
      </c>
      <c r="K127" s="162" t="str">
        <f t="shared" ca="1" si="85"/>
        <v>5.0.9.</v>
      </c>
      <c r="L127" s="209" t="s">
        <v>238</v>
      </c>
      <c r="M127" s="209" t="s">
        <v>259</v>
      </c>
      <c r="N127" s="230" t="s">
        <v>341</v>
      </c>
      <c r="O127" s="229" t="s">
        <v>244</v>
      </c>
      <c r="P127" s="232">
        <v>6.4</v>
      </c>
      <c r="Q127" s="228">
        <v>418.69</v>
      </c>
      <c r="R127" s="231" t="s">
        <v>7</v>
      </c>
      <c r="S127" s="121">
        <f t="shared" ca="1" si="86"/>
        <v>511.76</v>
      </c>
      <c r="T127" s="98">
        <f t="shared" ca="1" si="87"/>
        <v>3275.26</v>
      </c>
      <c r="U127" s="13" t="str">
        <f t="shared" ca="1" si="88"/>
        <v>ACIMA REF.</v>
      </c>
      <c r="V127" s="4" t="str">
        <f ca="1">IF(OR($A127=0,$A127="S",$A127&gt;CFF!$A$9),"",MAX(V$12:OFFSET(V127,-1,0))+1)</f>
        <v/>
      </c>
      <c r="W127" s="9" t="str">
        <f t="shared" si="89"/>
        <v>SINAPI-96558</v>
      </c>
      <c r="X127" s="4" t="e">
        <f t="shared" ca="1" si="90"/>
        <v>#REF!</v>
      </c>
      <c r="Y127" s="121">
        <f ca="1">IF(Import.Desoneracao="sim",Referencia.Desonerado,Referencia.NaoDesonerado)</f>
        <v>0</v>
      </c>
      <c r="Z127" s="132">
        <f ca="1">ROUND(IF(ISNUMBER(R127),R127,IF(LEFT(R127,3)="BDI",HLOOKUP(R127,DADOS!$T$37:$X$38,2,FALSE),0)),15-11*$X$5)</f>
        <v>0.2223</v>
      </c>
      <c r="AA127" s="4"/>
    </row>
    <row r="128" spans="1:27" ht="25.5" x14ac:dyDescent="0.2">
      <c r="A128" t="str">
        <f t="shared" si="78"/>
        <v>S</v>
      </c>
      <c r="B128">
        <f t="shared" si="79"/>
        <v>0</v>
      </c>
      <c r="C128">
        <f t="shared" ca="1" si="80"/>
        <v>5</v>
      </c>
      <c r="D128">
        <f t="shared" ca="1" si="81"/>
        <v>0</v>
      </c>
      <c r="E128">
        <f t="shared" ca="1" si="82"/>
        <v>0</v>
      </c>
      <c r="F128">
        <f t="shared" ca="1" si="83"/>
        <v>0</v>
      </c>
      <c r="G128">
        <f t="shared" ca="1" si="84"/>
        <v>10</v>
      </c>
      <c r="H128">
        <f t="shared" ca="1" si="66"/>
        <v>0</v>
      </c>
      <c r="I128">
        <f t="shared" ca="1" si="67"/>
        <v>0</v>
      </c>
      <c r="J128" s="120" t="s">
        <v>103</v>
      </c>
      <c r="K128" s="162" t="str">
        <f t="shared" ca="1" si="85"/>
        <v>5.0.10.</v>
      </c>
      <c r="L128" s="209" t="s">
        <v>238</v>
      </c>
      <c r="M128" s="209" t="s">
        <v>260</v>
      </c>
      <c r="N128" s="230" t="s">
        <v>424</v>
      </c>
      <c r="O128" s="229" t="s">
        <v>244</v>
      </c>
      <c r="P128" s="232">
        <v>12.35</v>
      </c>
      <c r="Q128" s="228">
        <v>402.11</v>
      </c>
      <c r="R128" s="231" t="s">
        <v>7</v>
      </c>
      <c r="S128" s="121">
        <f t="shared" ca="1" si="86"/>
        <v>491.5</v>
      </c>
      <c r="T128" s="98">
        <f t="shared" ca="1" si="87"/>
        <v>6070.03</v>
      </c>
      <c r="U128" s="13" t="str">
        <f t="shared" ca="1" si="88"/>
        <v>ACIMA REF.</v>
      </c>
      <c r="V128" s="4" t="str">
        <f ca="1">IF(OR($A128=0,$A128="S",$A128&gt;CFF!$A$9),"",MAX(V$12:OFFSET(V128,-1,0))+1)</f>
        <v/>
      </c>
      <c r="W128" s="9" t="str">
        <f t="shared" si="89"/>
        <v>SINAPI-100349</v>
      </c>
      <c r="X128" s="4" t="e">
        <f t="shared" ca="1" si="90"/>
        <v>#REF!</v>
      </c>
      <c r="Y128" s="121">
        <f ca="1">IF(Import.Desoneracao="sim",Referencia.Desonerado,Referencia.NaoDesonerado)</f>
        <v>0</v>
      </c>
      <c r="Z128" s="132">
        <f ca="1">ROUND(IF(ISNUMBER(R128),R128,IF(LEFT(R128,3)="BDI",HLOOKUP(R128,DADOS!$T$37:$X$38,2,FALSE),0)),15-11*$X$5)</f>
        <v>0.2223</v>
      </c>
      <c r="AA128" s="4"/>
    </row>
    <row r="129" spans="1:27" ht="25.5" x14ac:dyDescent="0.2">
      <c r="A129" t="str">
        <f t="shared" si="78"/>
        <v>S</v>
      </c>
      <c r="B129">
        <f t="shared" si="79"/>
        <v>0</v>
      </c>
      <c r="C129">
        <f t="shared" ca="1" si="80"/>
        <v>5</v>
      </c>
      <c r="D129">
        <f t="shared" ca="1" si="81"/>
        <v>0</v>
      </c>
      <c r="E129">
        <f t="shared" ca="1" si="82"/>
        <v>0</v>
      </c>
      <c r="F129">
        <f t="shared" ca="1" si="83"/>
        <v>0</v>
      </c>
      <c r="G129">
        <f t="shared" ca="1" si="84"/>
        <v>11</v>
      </c>
      <c r="H129">
        <f t="shared" ca="1" si="66"/>
        <v>0</v>
      </c>
      <c r="I129">
        <f t="shared" ca="1" si="67"/>
        <v>0</v>
      </c>
      <c r="J129" s="120" t="s">
        <v>103</v>
      </c>
      <c r="K129" s="162" t="str">
        <f t="shared" ca="1" si="85"/>
        <v>5.0.11.</v>
      </c>
      <c r="L129" s="209" t="s">
        <v>238</v>
      </c>
      <c r="M129" s="209" t="s">
        <v>241</v>
      </c>
      <c r="N129" s="230" t="s">
        <v>342</v>
      </c>
      <c r="O129" s="229" t="s">
        <v>244</v>
      </c>
      <c r="P129" s="232">
        <v>38.840000000000003</v>
      </c>
      <c r="Q129" s="228">
        <v>10.9</v>
      </c>
      <c r="R129" s="231" t="s">
        <v>7</v>
      </c>
      <c r="S129" s="121">
        <f t="shared" ca="1" si="86"/>
        <v>13.32</v>
      </c>
      <c r="T129" s="98">
        <f t="shared" ca="1" si="87"/>
        <v>517.35</v>
      </c>
      <c r="U129" s="13" t="str">
        <f t="shared" ca="1" si="88"/>
        <v>ACIMA REF.</v>
      </c>
      <c r="V129" s="4" t="str">
        <f ca="1">IF(OR($A129=0,$A129="S",$A129&gt;CFF!$A$9),"",MAX(V$12:OFFSET(V129,-1,0))+1)</f>
        <v/>
      </c>
      <c r="W129" s="9" t="str">
        <f t="shared" si="89"/>
        <v>SINAPI-93368</v>
      </c>
      <c r="X129" s="4" t="e">
        <f t="shared" ca="1" si="90"/>
        <v>#REF!</v>
      </c>
      <c r="Y129" s="121">
        <f ca="1">IF(Import.Desoneracao="sim",Referencia.Desonerado,Referencia.NaoDesonerado)</f>
        <v>0</v>
      </c>
      <c r="Z129" s="132">
        <f ca="1">ROUND(IF(ISNUMBER(R129),R129,IF(LEFT(R129,3)="BDI",HLOOKUP(R129,DADOS!$T$37:$X$38,2,FALSE),0)),15-11*$X$5)</f>
        <v>0.2223</v>
      </c>
      <c r="AA129" s="4"/>
    </row>
    <row r="130" spans="1:27" ht="25.5" x14ac:dyDescent="0.2">
      <c r="A130" t="str">
        <f>CHOOSE(1+LOG(1+2*(J130="Meta")+4*(J130="Nível 2")+8*(J130="Nível 3")+16*(J130="Nível 4")+32*(J130="Serviço"),2),0,1,2,3,4,"S")</f>
        <v>S</v>
      </c>
      <c r="B130">
        <f>IF(OR(A130="S",A130=0),0,IF(ISERROR(I130),H130,SMALL(H130:I130,1)))</f>
        <v>0</v>
      </c>
      <c r="C130">
        <f ca="1">IF($A130=1,OFFSET(C130,-1,0)+1,OFFSET(C130,-1,0))</f>
        <v>5</v>
      </c>
      <c r="D130">
        <f ca="1">IF($A130=1,0,IF($A130=2,OFFSET(D130,-1,0)+1,OFFSET(D130,-1,0)))</f>
        <v>0</v>
      </c>
      <c r="E130">
        <f ca="1">IF(AND($A130&lt;=2,$A130&lt;&gt;0),0,IF($A130=3,OFFSET(E130,-1,0)+1,OFFSET(E130,-1,0)))</f>
        <v>0</v>
      </c>
      <c r="F130">
        <f ca="1">IF(AND($A130&lt;=3,$A130&lt;&gt;0),0,IF($A130=4,OFFSET(F130,-1,0)+1,OFFSET(F130,-1,0)))</f>
        <v>0</v>
      </c>
      <c r="G130">
        <f ca="1">IF(AND($A130&lt;=4,$A130&lt;&gt;0),0,IF($A130="S",OFFSET(G130,-1,0)+1,OFFSET(G130,-1,0)))</f>
        <v>12</v>
      </c>
      <c r="H130">
        <f t="shared" ca="1" si="66"/>
        <v>0</v>
      </c>
      <c r="I130">
        <f t="shared" ca="1" si="67"/>
        <v>0</v>
      </c>
      <c r="J130" s="120" t="s">
        <v>103</v>
      </c>
      <c r="K130" s="162" t="str">
        <f ca="1">IF($A130=0,"-",CONCATENATE(C130&amp;".",IF(AND($A$5&gt;=2,$A130&gt;=2),D130&amp;".",""),IF(AND($A$5&gt;=3,$A130&gt;=3),E130&amp;".",""),IF(AND($A$5&gt;=4,$A130&gt;=4),F130&amp;".",""),IF($A130="S",G130&amp;".","")))</f>
        <v>5.0.12.</v>
      </c>
      <c r="L130" s="209" t="s">
        <v>238</v>
      </c>
      <c r="M130" s="209" t="s">
        <v>417</v>
      </c>
      <c r="N130" s="230" t="s">
        <v>423</v>
      </c>
      <c r="O130" s="229" t="s">
        <v>246</v>
      </c>
      <c r="P130" s="232">
        <v>21.33</v>
      </c>
      <c r="Q130" s="228">
        <v>26.71</v>
      </c>
      <c r="R130" s="231" t="s">
        <v>7</v>
      </c>
      <c r="S130" s="121">
        <f ca="1">IF($A130="S",IF($Q$10="Preço Unitário (R$)",PO.CustoUnitario,ROUND(PO.CustoUnitario*(1+$Z130),15-13*$X$6)),0)</f>
        <v>32.65</v>
      </c>
      <c r="T130" s="98">
        <f ca="1">IF($A130="S",VTOTAL1,IF($A130=0,0,ROUND(SomaAgrup,15-13*$X$7)))</f>
        <v>696.42</v>
      </c>
      <c r="U130" s="13" t="str">
        <f ca="1">IF($J130="","",IF($N130="","DESCRIÇÃO",IF(AND($J130="Serviço",$O130=""),"UNIDADE",IF($T130&lt;=0,"SEM VALOR",IF(AND($Y130&lt;&gt;"",$Q130&gt;$Y130),"ACIMA REF.","")))))</f>
        <v>ACIMA REF.</v>
      </c>
      <c r="V130" s="4" t="str">
        <f ca="1">IF(OR($A130=0,$A130="S",$A130&gt;CFF!$A$9),"",MAX(V$12:OFFSET(V130,-1,0))+1)</f>
        <v/>
      </c>
      <c r="W130" s="9" t="str">
        <f>IF(AND($J130="Serviço",$M130&lt;&gt;""),IF($L130="",$M130,CONCATENATE($L130,"-",$M130)))</f>
        <v>SINAPI-73816/1</v>
      </c>
      <c r="X130" s="4" t="e">
        <f ca="1">IF(AND(Fonte&lt;&gt;"",Código&lt;&gt;""),MATCH(Fonte&amp;" "&amp;IF(Fonte="sinapi",SUBSTITUTE(SUBSTITUTE(Código,"/00","/"),"/0","/"),Código),INDIRECT("'[Referência "&amp;_xlnm.Database&amp;".xls]Banco'!$a:$a"),0),"X")</f>
        <v>#REF!</v>
      </c>
      <c r="Y130" s="121">
        <f ca="1">IF(Import.Desoneracao="sim",Referencia.Desonerado,Referencia.NaoDesonerado)</f>
        <v>0</v>
      </c>
      <c r="Z130" s="132">
        <f ca="1">ROUND(IF(ISNUMBER(R130),R130,IF(LEFT(R130,3)="BDI",HLOOKUP(R130,DADOS!$T$37:$X$38,2,FALSE),0)),15-11*$X$5)</f>
        <v>0.2223</v>
      </c>
      <c r="AA130" s="4"/>
    </row>
    <row r="131" spans="1:27" x14ac:dyDescent="0.2">
      <c r="A131">
        <f t="shared" si="78"/>
        <v>1</v>
      </c>
      <c r="B131">
        <f t="shared" ca="1" si="79"/>
        <v>3</v>
      </c>
      <c r="C131">
        <f t="shared" ca="1" si="80"/>
        <v>6</v>
      </c>
      <c r="D131">
        <f t="shared" ca="1" si="81"/>
        <v>0</v>
      </c>
      <c r="E131">
        <f t="shared" ca="1" si="82"/>
        <v>0</v>
      </c>
      <c r="F131">
        <f t="shared" ca="1" si="83"/>
        <v>0</v>
      </c>
      <c r="G131">
        <f t="shared" ca="1" si="84"/>
        <v>0</v>
      </c>
      <c r="H131">
        <f t="shared" ca="1" si="66"/>
        <v>3</v>
      </c>
      <c r="I131" t="e">
        <f t="shared" ca="1" si="67"/>
        <v>#N/A</v>
      </c>
      <c r="J131" s="120" t="s">
        <v>99</v>
      </c>
      <c r="K131" s="162" t="str">
        <f t="shared" ca="1" si="85"/>
        <v>6.</v>
      </c>
      <c r="L131" s="209" t="s">
        <v>238</v>
      </c>
      <c r="M131" s="209"/>
      <c r="N131" s="230" t="s">
        <v>250</v>
      </c>
      <c r="O131" s="229" t="str">
        <f ca="1">Referencia.Unidade</f>
        <v/>
      </c>
      <c r="P131" s="232"/>
      <c r="Q131" s="228"/>
      <c r="R131" s="231" t="s">
        <v>7</v>
      </c>
      <c r="S131" s="121">
        <f t="shared" si="86"/>
        <v>0</v>
      </c>
      <c r="T131" s="98">
        <f t="shared" ca="1" si="87"/>
        <v>1045.08</v>
      </c>
      <c r="U131" s="13" t="str">
        <f t="shared" ca="1" si="88"/>
        <v/>
      </c>
      <c r="V131" s="4">
        <f ca="1">IF(OR($A131=0,$A131="S",$A131&gt;CFF!$A$9),"",MAX(V$12:OFFSET(V131,-1,0))+1)</f>
        <v>16</v>
      </c>
      <c r="W131" s="9" t="b">
        <f t="shared" si="89"/>
        <v>0</v>
      </c>
      <c r="X131" s="4" t="str">
        <f t="shared" ca="1" si="90"/>
        <v>X</v>
      </c>
      <c r="Y131" s="121">
        <f ca="1">IF(Import.Desoneracao="sim",Referencia.Desonerado,Referencia.NaoDesonerado)</f>
        <v>0</v>
      </c>
      <c r="Z131" s="132">
        <f ca="1">ROUND(IF(ISNUMBER(R131),R131,IF(LEFT(R131,3)="BDI",HLOOKUP(R131,DADOS!$T$37:$X$38,2,FALSE),0)),15-11*$X$5)</f>
        <v>0.2223</v>
      </c>
      <c r="AA131" s="4"/>
    </row>
    <row r="132" spans="1:27" x14ac:dyDescent="0.2">
      <c r="A132" t="str">
        <f t="shared" si="78"/>
        <v>S</v>
      </c>
      <c r="B132">
        <f t="shared" si="79"/>
        <v>0</v>
      </c>
      <c r="C132">
        <f t="shared" ca="1" si="80"/>
        <v>6</v>
      </c>
      <c r="D132">
        <f t="shared" ca="1" si="81"/>
        <v>0</v>
      </c>
      <c r="E132">
        <f t="shared" ca="1" si="82"/>
        <v>0</v>
      </c>
      <c r="F132">
        <f t="shared" ca="1" si="83"/>
        <v>0</v>
      </c>
      <c r="G132">
        <f t="shared" ca="1" si="84"/>
        <v>1</v>
      </c>
      <c r="H132">
        <f t="shared" ca="1" si="66"/>
        <v>0</v>
      </c>
      <c r="I132">
        <f t="shared" ca="1" si="67"/>
        <v>0</v>
      </c>
      <c r="J132" s="120" t="s">
        <v>103</v>
      </c>
      <c r="K132" s="162" t="str">
        <f t="shared" ca="1" si="85"/>
        <v>6.0.1.</v>
      </c>
      <c r="L132" s="209" t="s">
        <v>238</v>
      </c>
      <c r="M132" s="209" t="s">
        <v>296</v>
      </c>
      <c r="N132" s="230" t="s">
        <v>344</v>
      </c>
      <c r="O132" s="229" t="s">
        <v>243</v>
      </c>
      <c r="P132" s="232">
        <v>322.97000000000003</v>
      </c>
      <c r="Q132" s="228">
        <v>1.6</v>
      </c>
      <c r="R132" s="231" t="s">
        <v>7</v>
      </c>
      <c r="S132" s="121">
        <f t="shared" ca="1" si="86"/>
        <v>1.96</v>
      </c>
      <c r="T132" s="98">
        <f t="shared" ca="1" si="87"/>
        <v>633.02</v>
      </c>
      <c r="U132" s="13" t="str">
        <f t="shared" ca="1" si="88"/>
        <v>ACIMA REF.</v>
      </c>
      <c r="V132" s="4" t="str">
        <f ca="1">IF(OR($A132=0,$A132="S",$A132&gt;CFF!$A$9),"",MAX(V$12:OFFSET(V132,-1,0))+1)</f>
        <v/>
      </c>
      <c r="W132" s="9" t="str">
        <f t="shared" si="89"/>
        <v>SINAPI-99803</v>
      </c>
      <c r="X132" s="4" t="e">
        <f t="shared" ca="1" si="90"/>
        <v>#REF!</v>
      </c>
      <c r="Y132" s="121">
        <f ca="1">IF(Import.Desoneracao="sim",Referencia.Desonerado,Referencia.NaoDesonerado)</f>
        <v>0</v>
      </c>
      <c r="Z132" s="132">
        <f ca="1">ROUND(IF(ISNUMBER(R132),R132,IF(LEFT(R132,3)="BDI",HLOOKUP(R132,DADOS!$T$37:$X$38,2,FALSE),0)),15-11*$X$5)</f>
        <v>0.2223</v>
      </c>
      <c r="AA132" s="4"/>
    </row>
    <row r="133" spans="1:27" x14ac:dyDescent="0.2">
      <c r="A133" t="str">
        <f t="shared" si="78"/>
        <v>S</v>
      </c>
      <c r="B133">
        <f t="shared" si="79"/>
        <v>0</v>
      </c>
      <c r="C133">
        <f t="shared" ca="1" si="80"/>
        <v>6</v>
      </c>
      <c r="D133">
        <f t="shared" ca="1" si="81"/>
        <v>0</v>
      </c>
      <c r="E133">
        <f t="shared" ca="1" si="82"/>
        <v>0</v>
      </c>
      <c r="F133">
        <f t="shared" ca="1" si="83"/>
        <v>0</v>
      </c>
      <c r="G133">
        <f t="shared" ca="1" si="84"/>
        <v>2</v>
      </c>
      <c r="H133">
        <f t="shared" ca="1" si="66"/>
        <v>0</v>
      </c>
      <c r="I133">
        <f t="shared" ca="1" si="67"/>
        <v>0</v>
      </c>
      <c r="J133" s="120" t="s">
        <v>103</v>
      </c>
      <c r="K133" s="162" t="str">
        <f t="shared" ca="1" si="85"/>
        <v>6.0.2.</v>
      </c>
      <c r="L133" s="209" t="s">
        <v>238</v>
      </c>
      <c r="M133" s="209" t="s">
        <v>297</v>
      </c>
      <c r="N133" s="230" t="s">
        <v>343</v>
      </c>
      <c r="O133" s="229" t="s">
        <v>243</v>
      </c>
      <c r="P133" s="232">
        <v>508.71</v>
      </c>
      <c r="Q133" s="228">
        <v>0.66</v>
      </c>
      <c r="R133" s="231" t="s">
        <v>7</v>
      </c>
      <c r="S133" s="121">
        <f t="shared" ca="1" si="86"/>
        <v>0.81</v>
      </c>
      <c r="T133" s="98">
        <f t="shared" ca="1" si="87"/>
        <v>412.06</v>
      </c>
      <c r="U133" s="13" t="str">
        <f t="shared" ca="1" si="88"/>
        <v>ACIMA REF.</v>
      </c>
      <c r="V133" s="4" t="str">
        <f ca="1">IF(OR($A133=0,$A133="S",$A133&gt;CFF!$A$9),"",MAX(V$12:OFFSET(V133,-1,0))+1)</f>
        <v/>
      </c>
      <c r="W133" s="9" t="str">
        <f t="shared" si="89"/>
        <v>SINAPI-99806</v>
      </c>
      <c r="X133" s="4" t="e">
        <f t="shared" ca="1" si="90"/>
        <v>#REF!</v>
      </c>
      <c r="Y133" s="121">
        <f ca="1">IF(Import.Desoneracao="sim",Referencia.Desonerado,Referencia.NaoDesonerado)</f>
        <v>0</v>
      </c>
      <c r="Z133" s="132">
        <f ca="1">ROUND(IF(ISNUMBER(R133),R133,IF(LEFT(R133,3)="BDI",HLOOKUP(R133,DADOS!$T$37:$X$38,2,FALSE),0)),15-11*$X$5)</f>
        <v>0.2223</v>
      </c>
      <c r="AA133" s="4"/>
    </row>
    <row r="134" spans="1:27" x14ac:dyDescent="0.2">
      <c r="A134">
        <v>-1</v>
      </c>
      <c r="C134">
        <v>0</v>
      </c>
      <c r="D134">
        <v>0</v>
      </c>
      <c r="E134">
        <v>0</v>
      </c>
      <c r="F134">
        <v>0</v>
      </c>
      <c r="G134">
        <v>0</v>
      </c>
      <c r="J134" s="83"/>
      <c r="K134" s="83"/>
      <c r="L134" s="83"/>
      <c r="M134" s="83"/>
      <c r="N134" s="83"/>
      <c r="O134" s="83"/>
      <c r="P134" s="83"/>
      <c r="Q134" s="83"/>
      <c r="R134" s="83"/>
      <c r="S134" s="83"/>
      <c r="T134" s="83"/>
      <c r="U134" s="4"/>
      <c r="V134" s="4"/>
      <c r="W134" s="4"/>
      <c r="X134" s="4"/>
      <c r="Y134" s="4"/>
      <c r="Z134" s="4"/>
      <c r="AA134" s="4"/>
    </row>
    <row r="135" spans="1:27" ht="14.25" x14ac:dyDescent="0.2">
      <c r="A135" s="4"/>
      <c r="B135" s="4"/>
      <c r="C135" s="4"/>
      <c r="D135" s="4"/>
      <c r="E135" s="4"/>
      <c r="F135" s="4"/>
      <c r="G135" s="4"/>
      <c r="H135" s="4"/>
      <c r="I135" s="4"/>
      <c r="J135" s="4"/>
      <c r="K135" s="84" t="s">
        <v>62</v>
      </c>
      <c r="L135" s="4"/>
      <c r="M135" s="364" t="s">
        <v>141</v>
      </c>
      <c r="N135" s="365"/>
      <c r="O135" s="365"/>
      <c r="P135" s="365"/>
      <c r="Q135" s="365"/>
      <c r="R135" s="365"/>
      <c r="S135" s="365"/>
      <c r="T135" s="366"/>
      <c r="U135" s="4"/>
      <c r="V135" s="4"/>
      <c r="W135" s="4"/>
      <c r="X135" s="4"/>
      <c r="Y135" s="4"/>
      <c r="Z135" s="4"/>
      <c r="AA135" s="4"/>
    </row>
    <row r="136" spans="1:27"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4.25" x14ac:dyDescent="0.2">
      <c r="A137" s="4"/>
      <c r="B137" s="4"/>
      <c r="C137" s="4"/>
      <c r="D137" s="4"/>
      <c r="E137" s="4"/>
      <c r="F137" s="4"/>
      <c r="G137" s="4"/>
      <c r="H137" s="4"/>
      <c r="I137" s="4"/>
      <c r="J137" s="4"/>
      <c r="K137" s="90" t="s">
        <v>21</v>
      </c>
      <c r="L137" s="20"/>
      <c r="M137" s="20"/>
      <c r="N137" s="20"/>
      <c r="O137" s="20"/>
      <c r="P137" s="20"/>
      <c r="Q137" s="20"/>
      <c r="R137" s="20"/>
      <c r="S137" s="20"/>
      <c r="T137" s="89"/>
      <c r="U137" s="4"/>
      <c r="V137" s="4"/>
      <c r="W137" s="4"/>
      <c r="X137" s="4"/>
      <c r="Y137" s="4"/>
      <c r="Z137" s="4"/>
      <c r="AA137" s="4"/>
    </row>
    <row r="138" spans="1:27" ht="12.75" customHeight="1" x14ac:dyDescent="0.2">
      <c r="A138" s="4"/>
      <c r="B138" s="4"/>
      <c r="C138" s="4"/>
      <c r="D138" s="4"/>
      <c r="E138" s="4"/>
      <c r="F138" s="4"/>
      <c r="G138" s="4"/>
      <c r="H138" s="4"/>
      <c r="I138" s="4"/>
      <c r="J138" s="4"/>
      <c r="K138" s="358"/>
      <c r="L138" s="359"/>
      <c r="M138" s="359"/>
      <c r="N138" s="359"/>
      <c r="O138" s="359"/>
      <c r="P138" s="359"/>
      <c r="Q138" s="359"/>
      <c r="R138" s="359"/>
      <c r="S138" s="359"/>
      <c r="T138" s="360"/>
      <c r="U138" s="4"/>
      <c r="V138" s="4"/>
      <c r="W138" s="4"/>
      <c r="X138" s="4"/>
      <c r="Y138" s="4"/>
      <c r="Z138" s="4"/>
      <c r="AA138" s="4"/>
    </row>
    <row r="139" spans="1:27" x14ac:dyDescent="0.2">
      <c r="A139" s="4"/>
      <c r="B139" s="4"/>
      <c r="C139" s="4"/>
      <c r="D139" s="4"/>
      <c r="E139" s="4"/>
      <c r="F139" s="4"/>
      <c r="G139" s="4"/>
      <c r="H139" s="4"/>
      <c r="I139" s="4"/>
      <c r="J139" s="4"/>
      <c r="K139" s="358"/>
      <c r="L139" s="359"/>
      <c r="M139" s="359"/>
      <c r="N139" s="359"/>
      <c r="O139" s="359"/>
      <c r="P139" s="359"/>
      <c r="Q139" s="359"/>
      <c r="R139" s="359"/>
      <c r="S139" s="359"/>
      <c r="T139" s="360"/>
      <c r="U139" s="4"/>
      <c r="V139" s="4"/>
      <c r="W139" s="4"/>
      <c r="X139" s="4"/>
      <c r="Y139" s="4"/>
      <c r="Z139" s="4"/>
      <c r="AA139" s="4"/>
    </row>
    <row r="140" spans="1:27" x14ac:dyDescent="0.2">
      <c r="A140" s="4"/>
      <c r="B140" s="4"/>
      <c r="C140" s="4"/>
      <c r="D140" s="4"/>
      <c r="E140" s="4"/>
      <c r="F140" s="4"/>
      <c r="G140" s="4"/>
      <c r="H140" s="4"/>
      <c r="I140" s="4"/>
      <c r="J140" s="4"/>
      <c r="K140" s="361"/>
      <c r="L140" s="362"/>
      <c r="M140" s="362"/>
      <c r="N140" s="362"/>
      <c r="O140" s="362"/>
      <c r="P140" s="362"/>
      <c r="Q140" s="362"/>
      <c r="R140" s="362"/>
      <c r="S140" s="362"/>
      <c r="T140" s="363"/>
      <c r="U140" s="4"/>
      <c r="V140" s="4"/>
      <c r="W140" s="4"/>
      <c r="X140" s="4"/>
      <c r="Y140" s="4"/>
      <c r="Z140" s="4"/>
      <c r="AA140" s="4"/>
    </row>
    <row r="141" spans="1:27" ht="14.25" x14ac:dyDescent="0.2">
      <c r="A141" s="4"/>
      <c r="B141" s="4"/>
      <c r="C141" s="4"/>
      <c r="D141" s="4"/>
      <c r="E141" s="4"/>
      <c r="F141" s="4"/>
      <c r="G141" s="4"/>
      <c r="H141" s="4"/>
      <c r="I141" s="4"/>
      <c r="J141" s="4"/>
      <c r="K141" s="213"/>
      <c r="L141" s="213"/>
      <c r="M141" s="213"/>
      <c r="N141" s="213"/>
      <c r="O141" s="213"/>
      <c r="P141" s="213"/>
      <c r="Q141" s="213"/>
      <c r="R141" s="213"/>
      <c r="S141" s="213"/>
      <c r="T141" s="213"/>
      <c r="U141" s="4"/>
      <c r="V141" s="4"/>
      <c r="W141" s="4"/>
      <c r="X141" s="4"/>
      <c r="Y141" s="4"/>
      <c r="Z141" s="4"/>
      <c r="AA141" s="4"/>
    </row>
    <row r="142" spans="1:27" ht="15" x14ac:dyDescent="0.25">
      <c r="A142" s="4"/>
      <c r="B142" s="4"/>
      <c r="C142" s="4"/>
      <c r="D142" s="4"/>
      <c r="E142" s="4"/>
      <c r="F142" s="4"/>
      <c r="G142" s="4"/>
      <c r="H142" s="4"/>
      <c r="I142" s="4"/>
      <c r="J142" s="4"/>
      <c r="K142" s="355"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142" s="356"/>
      <c r="M142" s="356"/>
      <c r="N142" s="356"/>
      <c r="O142" s="356"/>
      <c r="P142" s="356"/>
      <c r="Q142" s="356"/>
      <c r="R142" s="356"/>
      <c r="S142" s="356"/>
      <c r="T142" s="357"/>
      <c r="U142" s="4"/>
      <c r="V142" s="4"/>
      <c r="W142" s="4"/>
      <c r="X142" s="4"/>
      <c r="Y142" s="4"/>
      <c r="Z142" s="4"/>
      <c r="AA142" s="4"/>
    </row>
    <row r="143" spans="1:27"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21"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
      <c r="A145" s="4"/>
      <c r="B145" s="4"/>
      <c r="C145" s="4"/>
      <c r="D145" s="4"/>
      <c r="E145" s="4"/>
      <c r="F145" s="4"/>
      <c r="G145" s="4"/>
      <c r="H145" s="4"/>
      <c r="I145" s="4"/>
      <c r="J145" s="4"/>
      <c r="K145" s="368" t="str">
        <f>Import.Município</f>
        <v>GUAPORÉ/RS</v>
      </c>
      <c r="L145" s="368"/>
      <c r="M145" s="368"/>
      <c r="N145" s="4"/>
      <c r="O145" s="4"/>
      <c r="P145" s="4"/>
      <c r="Q145" s="4"/>
      <c r="R145" s="4"/>
      <c r="S145" s="4"/>
      <c r="T145" s="4"/>
      <c r="U145" s="4"/>
      <c r="V145" s="4"/>
      <c r="W145" s="4"/>
      <c r="X145" s="4"/>
      <c r="Y145" s="4"/>
      <c r="Z145" s="4"/>
      <c r="AA145" s="4"/>
    </row>
    <row r="146" spans="1:27" x14ac:dyDescent="0.2">
      <c r="A146" s="4"/>
      <c r="B146" s="4"/>
      <c r="C146" s="4"/>
      <c r="D146" s="4"/>
      <c r="E146" s="4"/>
      <c r="F146" s="4"/>
      <c r="G146" s="4"/>
      <c r="H146" s="4"/>
      <c r="I146" s="4"/>
      <c r="J146" s="4"/>
      <c r="K146" s="112" t="s">
        <v>120</v>
      </c>
      <c r="L146" s="4"/>
      <c r="M146" s="4"/>
      <c r="N146" s="4"/>
      <c r="O146" s="4"/>
      <c r="P146" s="4"/>
      <c r="Q146" s="4"/>
      <c r="R146" s="4"/>
      <c r="S146" s="4"/>
      <c r="T146" s="4"/>
      <c r="U146" s="4"/>
      <c r="V146" s="4"/>
      <c r="W146" s="4"/>
      <c r="X146" s="4"/>
      <c r="Y146" s="4"/>
      <c r="Z146" s="4"/>
      <c r="AA146" s="4"/>
    </row>
    <row r="147" spans="1:27"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
      <c r="A148" s="4"/>
      <c r="B148" s="4"/>
      <c r="C148" s="4"/>
      <c r="D148" s="4"/>
      <c r="E148" s="4"/>
      <c r="F148" s="4"/>
      <c r="G148" s="4"/>
      <c r="H148" s="4"/>
      <c r="I148" s="4"/>
      <c r="J148" s="4"/>
      <c r="K148" s="367">
        <f ca="1">TODAY()</f>
        <v>44068</v>
      </c>
      <c r="L148" s="367"/>
      <c r="M148" s="367"/>
      <c r="N148" s="4"/>
      <c r="O148" s="4"/>
      <c r="P148" s="4"/>
      <c r="Q148" s="4"/>
      <c r="R148" s="4"/>
      <c r="S148" s="4"/>
      <c r="T148" s="4"/>
      <c r="U148" s="4"/>
      <c r="V148" s="4"/>
      <c r="W148" s="4"/>
      <c r="X148" s="4"/>
      <c r="Y148" s="4"/>
      <c r="Z148" s="4"/>
      <c r="AA148" s="4"/>
    </row>
    <row r="149" spans="1:27" x14ac:dyDescent="0.2">
      <c r="A149" s="4"/>
      <c r="B149" s="4"/>
      <c r="C149" s="4"/>
      <c r="D149" s="4"/>
      <c r="E149" s="4"/>
      <c r="F149" s="4"/>
      <c r="G149" s="4"/>
      <c r="H149" s="4"/>
      <c r="I149" s="4"/>
      <c r="J149" s="4"/>
      <c r="K149" s="141" t="s">
        <v>121</v>
      </c>
      <c r="L149" s="83"/>
      <c r="M149" s="83"/>
      <c r="N149" s="4"/>
      <c r="O149" s="4"/>
      <c r="P149" s="4"/>
      <c r="Q149" s="4"/>
      <c r="R149" s="4"/>
      <c r="S149" s="4"/>
      <c r="T149" s="4"/>
      <c r="U149" s="4"/>
      <c r="V149" s="4"/>
      <c r="W149" s="4"/>
      <c r="X149" s="4"/>
      <c r="Y149" s="4"/>
      <c r="Z149" s="4"/>
      <c r="AA149" s="4"/>
    </row>
  </sheetData>
  <sheetProtection algorithmName="SHA-512" hashValue="RCo59xduyjyqK41xG3LpSmqiwvunSjP0TNrYudTl0UB97waS0WJ1SZcOGs5EmO8ZO98+zXOh03Pe99wvsMRFmw==" saltValue="EppGYTn+7xyOD3BkUPdj8Q==" spinCount="100000" sheet="1" objects="1" scenarios="1"/>
  <mergeCells count="6">
    <mergeCell ref="W2:X2"/>
    <mergeCell ref="K142:T142"/>
    <mergeCell ref="K138:T140"/>
    <mergeCell ref="M135:T135"/>
    <mergeCell ref="K148:M148"/>
    <mergeCell ref="K145:M145"/>
  </mergeCells>
  <phoneticPr fontId="25" type="noConversion"/>
  <conditionalFormatting sqref="O12:R12 L12:M12">
    <cfRule type="expression" dxfId="798" priority="3089" stopIfTrue="1">
      <formula>$J12=$C$2</formula>
    </cfRule>
    <cfRule type="expression" dxfId="797" priority="3090" stopIfTrue="1">
      <formula>UPPER(LEFT($J12,5))="NÍVEL"</formula>
    </cfRule>
    <cfRule type="expression" dxfId="796" priority="3091" stopIfTrue="1">
      <formula>$J12=$C$8</formula>
    </cfRule>
  </conditionalFormatting>
  <conditionalFormatting sqref="Y12:Z12 S12:T12 K12">
    <cfRule type="expression" dxfId="795" priority="3092" stopIfTrue="1">
      <formula>$J12=$C$2</formula>
    </cfRule>
    <cfRule type="expression" dxfId="794" priority="3093" stopIfTrue="1">
      <formula>UPPER(LEFT($J12,5))="NÍVEL"</formula>
    </cfRule>
  </conditionalFormatting>
  <conditionalFormatting sqref="K11 K13:K17 K19:K22 K25 K27:K59 K98:K107 K110:K129 K64:K96 K131:K133">
    <cfRule type="expression" dxfId="793" priority="3105" stopIfTrue="1">
      <formula>$J11=$C$2</formula>
    </cfRule>
    <cfRule type="expression" dxfId="792" priority="3106" stopIfTrue="1">
      <formula>AND($J11&lt;&gt;"",$J11&lt;&gt;"Serviço")</formula>
    </cfRule>
    <cfRule type="expression" dxfId="791" priority="3107" stopIfTrue="1">
      <formula>$J11=""</formula>
    </cfRule>
  </conditionalFormatting>
  <conditionalFormatting sqref="P11 P13:P17 P19:P22 P25 P27:P59 P98:P107 P110:P129 P64:P96 P131:P133">
    <cfRule type="expression" dxfId="790" priority="1432" stopIfTrue="1">
      <formula>$J11=$C$2</formula>
    </cfRule>
    <cfRule type="expression" dxfId="789" priority="3111" stopIfTrue="1">
      <formula>AND($J11&lt;&gt;"Serviço")</formula>
    </cfRule>
    <cfRule type="expression" dxfId="788" priority="3112" stopIfTrue="1">
      <formula>CELL("proteger",P11)</formula>
    </cfRule>
  </conditionalFormatting>
  <conditionalFormatting sqref="Q11:R11 Q13:R17 Q19:R22 Q25:R25 Q27:R59 Q98:R107 Q110:R129 Q64:R96 Q131:R133">
    <cfRule type="expression" dxfId="787" priority="3113" stopIfTrue="1">
      <formula>$J11=$C$2</formula>
    </cfRule>
    <cfRule type="expression" dxfId="786" priority="3114" stopIfTrue="1">
      <formula>$J11&lt;&gt;"Serviço"</formula>
    </cfRule>
    <cfRule type="expression" dxfId="785" priority="3115" stopIfTrue="1">
      <formula>CELL("proteger",Q11)</formula>
    </cfRule>
  </conditionalFormatting>
  <conditionalFormatting sqref="S11:T11 Y11:Z11 S13:T17 Y13:Z17 Y19:Z22 S19:T22 S25:T25 Y25:Z25 S27:T59 Y27:Z59 Y98:Z107 S98:T107 S110:T129 Y110:Z129 Y64:Z96 S64:T96 Y131:Z133 S131:T133">
    <cfRule type="expression" dxfId="784" priority="3116" stopIfTrue="1">
      <formula>$J11=$C$2</formula>
    </cfRule>
    <cfRule type="expression" dxfId="783" priority="3117" stopIfTrue="1">
      <formula>$J11&lt;&gt;"Serviço"</formula>
    </cfRule>
  </conditionalFormatting>
  <conditionalFormatting sqref="L11:M11 L13:M17 L19:M22 L26 L25:M25 L23:L24 L27:M59 L98:M107 L110:M129 L64:M96 L131:M133">
    <cfRule type="expression" dxfId="782" priority="3137" stopIfTrue="1">
      <formula>$J11=$C$2</formula>
    </cfRule>
    <cfRule type="expression" dxfId="781" priority="3138" stopIfTrue="1">
      <formula>$J11&lt;&gt;"Serviço"</formula>
    </cfRule>
    <cfRule type="expression" dxfId="780" priority="3139" stopIfTrue="1">
      <formula>OR(CELL("proteger",L11),$J11="",TipoOrçamento="Licitado")</formula>
    </cfRule>
  </conditionalFormatting>
  <conditionalFormatting sqref="K135:T135">
    <cfRule type="expression" dxfId="779" priority="3118" stopIfTrue="1">
      <formula>OR(Tipo.Orçamento="LICITADO",Tipo.Orçamento="REPROGRAMADOAC")</formula>
    </cfRule>
    <cfRule type="expression" dxfId="778" priority="3119" stopIfTrue="1">
      <formula>$M$135=""</formula>
    </cfRule>
  </conditionalFormatting>
  <conditionalFormatting sqref="J11 J13 J32 J36 J16:J17 J19:J20 J25 J27:J28 J38 J43:J46 J50:J55 J98:J103 J110 J64 J80:J81 J70:J71 J118:J129 J114:J115 J40:J41 J87:J88 J83:J85 J90:J93 J48 J95 J131">
    <cfRule type="expression" dxfId="777" priority="3146" stopIfTrue="1">
      <formula>TipoOrçamento="Licitado"</formula>
    </cfRule>
  </conditionalFormatting>
  <conditionalFormatting sqref="O11 O13:O17 O19:O22 O25 O27:O59 O98:O107 O110:O129 O64:O96 O131:O133">
    <cfRule type="expression" dxfId="776" priority="1452" stopIfTrue="1">
      <formula>$J11=$C$2</formula>
    </cfRule>
    <cfRule type="expression" dxfId="775" priority="1453" stopIfTrue="1">
      <formula>AND($J11&lt;&gt;"Serviço")</formula>
    </cfRule>
    <cfRule type="expression" dxfId="774" priority="1454" stopIfTrue="1">
      <formula>CELL("proteger",O11)</formula>
    </cfRule>
  </conditionalFormatting>
  <conditionalFormatting sqref="N11 N14:N17 N19:N22 N25 N27:N59 N98:N107 N110:N129 N64:N96 N131:N133">
    <cfRule type="expression" dxfId="773" priority="1455" stopIfTrue="1">
      <formula>$J11=$C$2</formula>
    </cfRule>
    <cfRule type="expression" dxfId="772" priority="1456" stopIfTrue="1">
      <formula>$J11&lt;&gt;"Serviço"</formula>
    </cfRule>
    <cfRule type="expression" dxfId="771" priority="1457" stopIfTrue="1">
      <formula>CELL("proteger",N11)</formula>
    </cfRule>
  </conditionalFormatting>
  <conditionalFormatting sqref="N13">
    <cfRule type="expression" dxfId="770" priority="1321" stopIfTrue="1">
      <formula>$J13=$C$2</formula>
    </cfRule>
    <cfRule type="expression" dxfId="769" priority="1322" stopIfTrue="1">
      <formula>$J13&lt;&gt;"Serviço"</formula>
    </cfRule>
    <cfRule type="expression" dxfId="768" priority="1323" stopIfTrue="1">
      <formula>CELL("proteger",N13)</formula>
    </cfRule>
  </conditionalFormatting>
  <conditionalFormatting sqref="J14 J30 J132:J133">
    <cfRule type="expression" dxfId="767" priority="1161" stopIfTrue="1">
      <formula>TipoOrçamento="Licitado"</formula>
    </cfRule>
  </conditionalFormatting>
  <conditionalFormatting sqref="J31">
    <cfRule type="expression" dxfId="766" priority="1140" stopIfTrue="1">
      <formula>TipoOrçamento="Licitado"</formula>
    </cfRule>
  </conditionalFormatting>
  <conditionalFormatting sqref="J21">
    <cfRule type="expression" dxfId="765" priority="1077" stopIfTrue="1">
      <formula>TipoOrçamento="Licitado"</formula>
    </cfRule>
  </conditionalFormatting>
  <conditionalFormatting sqref="J22">
    <cfRule type="expression" dxfId="764" priority="1056" stopIfTrue="1">
      <formula>TipoOrçamento="Licitado"</formula>
    </cfRule>
  </conditionalFormatting>
  <conditionalFormatting sqref="J82">
    <cfRule type="expression" dxfId="763" priority="987" stopIfTrue="1">
      <formula>TipoOrçamento="Licitado"</formula>
    </cfRule>
  </conditionalFormatting>
  <conditionalFormatting sqref="J33 J35">
    <cfRule type="expression" dxfId="762" priority="966" stopIfTrue="1">
      <formula>TipoOrçamento="Licitado"</formula>
    </cfRule>
  </conditionalFormatting>
  <conditionalFormatting sqref="J34">
    <cfRule type="expression" dxfId="761" priority="945" stopIfTrue="1">
      <formula>TipoOrçamento="Licitado"</formula>
    </cfRule>
  </conditionalFormatting>
  <conditionalFormatting sqref="J15">
    <cfRule type="expression" dxfId="760" priority="924" stopIfTrue="1">
      <formula>TipoOrçamento="Licitado"</formula>
    </cfRule>
  </conditionalFormatting>
  <conditionalFormatting sqref="K18">
    <cfRule type="expression" dxfId="759" priority="890" stopIfTrue="1">
      <formula>$J18=$C$2</formula>
    </cfRule>
    <cfRule type="expression" dxfId="758" priority="891" stopIfTrue="1">
      <formula>AND($J18&lt;&gt;"",$J18&lt;&gt;"Serviço")</formula>
    </cfRule>
    <cfRule type="expression" dxfId="757" priority="892" stopIfTrue="1">
      <formula>$J18=""</formula>
    </cfRule>
  </conditionalFormatting>
  <conditionalFormatting sqref="P18">
    <cfRule type="expression" dxfId="756" priority="883" stopIfTrue="1">
      <formula>$J18=$C$2</formula>
    </cfRule>
    <cfRule type="expression" dxfId="755" priority="893" stopIfTrue="1">
      <formula>AND($J18&lt;&gt;"Serviço")</formula>
    </cfRule>
    <cfRule type="expression" dxfId="754" priority="894" stopIfTrue="1">
      <formula>CELL("proteger",P18)</formula>
    </cfRule>
  </conditionalFormatting>
  <conditionalFormatting sqref="Q18:R18">
    <cfRule type="expression" dxfId="753" priority="895" stopIfTrue="1">
      <formula>$J18=$C$2</formula>
    </cfRule>
    <cfRule type="expression" dxfId="752" priority="896" stopIfTrue="1">
      <formula>$J18&lt;&gt;"Serviço"</formula>
    </cfRule>
    <cfRule type="expression" dxfId="751" priority="897" stopIfTrue="1">
      <formula>CELL("proteger",Q18)</formula>
    </cfRule>
  </conditionalFormatting>
  <conditionalFormatting sqref="S18:T18 Y18:Z18">
    <cfRule type="expression" dxfId="750" priority="898" stopIfTrue="1">
      <formula>$J18=$C$2</formula>
    </cfRule>
    <cfRule type="expression" dxfId="749" priority="899" stopIfTrue="1">
      <formula>$J18&lt;&gt;"Serviço"</formula>
    </cfRule>
  </conditionalFormatting>
  <conditionalFormatting sqref="L18:M18">
    <cfRule type="expression" dxfId="748" priority="900" stopIfTrue="1">
      <formula>$J18=$C$2</formula>
    </cfRule>
    <cfRule type="expression" dxfId="747" priority="901" stopIfTrue="1">
      <formula>$J18&lt;&gt;"Serviço"</formula>
    </cfRule>
    <cfRule type="expression" dxfId="746" priority="902" stopIfTrue="1">
      <formula>OR(CELL("proteger",L18),$J18="",TipoOrçamento="Licitado")</formula>
    </cfRule>
  </conditionalFormatting>
  <conditionalFormatting sqref="J18">
    <cfRule type="expression" dxfId="745" priority="903" stopIfTrue="1">
      <formula>TipoOrçamento="Licitado"</formula>
    </cfRule>
  </conditionalFormatting>
  <conditionalFormatting sqref="O18">
    <cfRule type="expression" dxfId="744" priority="884" stopIfTrue="1">
      <formula>$J18=$C$2</formula>
    </cfRule>
    <cfRule type="expression" dxfId="743" priority="885" stopIfTrue="1">
      <formula>AND($J18&lt;&gt;"Serviço")</formula>
    </cfRule>
    <cfRule type="expression" dxfId="742" priority="886" stopIfTrue="1">
      <formula>CELL("proteger",O18)</formula>
    </cfRule>
  </conditionalFormatting>
  <conditionalFormatting sqref="N18">
    <cfRule type="expression" dxfId="741" priority="887" stopIfTrue="1">
      <formula>$J18=$C$2</formula>
    </cfRule>
    <cfRule type="expression" dxfId="740" priority="888" stopIfTrue="1">
      <formula>$J18&lt;&gt;"Serviço"</formula>
    </cfRule>
    <cfRule type="expression" dxfId="739" priority="889" stopIfTrue="1">
      <formula>CELL("proteger",N18)</formula>
    </cfRule>
  </conditionalFormatting>
  <conditionalFormatting sqref="K26">
    <cfRule type="expression" dxfId="738" priority="869" stopIfTrue="1">
      <formula>$J26=$C$2</formula>
    </cfRule>
    <cfRule type="expression" dxfId="737" priority="870" stopIfTrue="1">
      <formula>AND($J26&lt;&gt;"",$J26&lt;&gt;"Serviço")</formula>
    </cfRule>
    <cfRule type="expression" dxfId="736" priority="871" stopIfTrue="1">
      <formula>$J26=""</formula>
    </cfRule>
  </conditionalFormatting>
  <conditionalFormatting sqref="P26">
    <cfRule type="expression" dxfId="735" priority="862" stopIfTrue="1">
      <formula>$J26=$C$2</formula>
    </cfRule>
    <cfRule type="expression" dxfId="734" priority="872" stopIfTrue="1">
      <formula>AND($J26&lt;&gt;"Serviço")</formula>
    </cfRule>
    <cfRule type="expression" dxfId="733" priority="873" stopIfTrue="1">
      <formula>CELL("proteger",P26)</formula>
    </cfRule>
  </conditionalFormatting>
  <conditionalFormatting sqref="Q26:R26">
    <cfRule type="expression" dxfId="732" priority="874" stopIfTrue="1">
      <formula>$J26=$C$2</formula>
    </cfRule>
    <cfRule type="expression" dxfId="731" priority="875" stopIfTrue="1">
      <formula>$J26&lt;&gt;"Serviço"</formula>
    </cfRule>
    <cfRule type="expression" dxfId="730" priority="876" stopIfTrue="1">
      <formula>CELL("proteger",Q26)</formula>
    </cfRule>
  </conditionalFormatting>
  <conditionalFormatting sqref="S26:T26 Y26:Z26">
    <cfRule type="expression" dxfId="729" priority="877" stopIfTrue="1">
      <formula>$J26=$C$2</formula>
    </cfRule>
    <cfRule type="expression" dxfId="728" priority="878" stopIfTrue="1">
      <formula>$J26&lt;&gt;"Serviço"</formula>
    </cfRule>
  </conditionalFormatting>
  <conditionalFormatting sqref="M26">
    <cfRule type="expression" dxfId="727" priority="879" stopIfTrue="1">
      <formula>$J26=$C$2</formula>
    </cfRule>
    <cfRule type="expression" dxfId="726" priority="880" stopIfTrue="1">
      <formula>$J26&lt;&gt;"Serviço"</formula>
    </cfRule>
    <cfRule type="expression" dxfId="725" priority="881" stopIfTrue="1">
      <formula>OR(CELL("proteger",M26),$J26="",TipoOrçamento="Licitado")</formula>
    </cfRule>
  </conditionalFormatting>
  <conditionalFormatting sqref="J26">
    <cfRule type="expression" dxfId="724" priority="882" stopIfTrue="1">
      <formula>TipoOrçamento="Licitado"</formula>
    </cfRule>
  </conditionalFormatting>
  <conditionalFormatting sqref="O26">
    <cfRule type="expression" dxfId="723" priority="863" stopIfTrue="1">
      <formula>$J26=$C$2</formula>
    </cfRule>
    <cfRule type="expression" dxfId="722" priority="864" stopIfTrue="1">
      <formula>AND($J26&lt;&gt;"Serviço")</formula>
    </cfRule>
    <cfRule type="expression" dxfId="721" priority="865" stopIfTrue="1">
      <formula>CELL("proteger",O26)</formula>
    </cfRule>
  </conditionalFormatting>
  <conditionalFormatting sqref="N26">
    <cfRule type="expression" dxfId="720" priority="866" stopIfTrue="1">
      <formula>$J26=$C$2</formula>
    </cfRule>
    <cfRule type="expression" dxfId="719" priority="867" stopIfTrue="1">
      <formula>$J26&lt;&gt;"Serviço"</formula>
    </cfRule>
    <cfRule type="expression" dxfId="718" priority="868" stopIfTrue="1">
      <formula>CELL("proteger",N26)</formula>
    </cfRule>
  </conditionalFormatting>
  <conditionalFormatting sqref="J29">
    <cfRule type="expression" dxfId="717" priority="861" stopIfTrue="1">
      <formula>TipoOrçamento="Licitado"</formula>
    </cfRule>
  </conditionalFormatting>
  <conditionalFormatting sqref="J37">
    <cfRule type="expression" dxfId="716" priority="840" stopIfTrue="1">
      <formula>TipoOrçamento="Licitado"</formula>
    </cfRule>
  </conditionalFormatting>
  <conditionalFormatting sqref="J42">
    <cfRule type="expression" dxfId="715" priority="819" stopIfTrue="1">
      <formula>TipoOrçamento="Licitado"</formula>
    </cfRule>
  </conditionalFormatting>
  <conditionalFormatting sqref="J49">
    <cfRule type="expression" dxfId="714" priority="792" stopIfTrue="1">
      <formula>TipoOrçamento="Licitado"</formula>
    </cfRule>
  </conditionalFormatting>
  <conditionalFormatting sqref="J96">
    <cfRule type="expression" dxfId="713" priority="771" stopIfTrue="1">
      <formula>TipoOrçamento="Licitado"</formula>
    </cfRule>
  </conditionalFormatting>
  <conditionalFormatting sqref="J104">
    <cfRule type="expression" dxfId="712" priority="750" stopIfTrue="1">
      <formula>TipoOrçamento="Licitado"</formula>
    </cfRule>
  </conditionalFormatting>
  <conditionalFormatting sqref="J105">
    <cfRule type="expression" dxfId="711" priority="729" stopIfTrue="1">
      <formula>TipoOrçamento="Licitado"</formula>
    </cfRule>
  </conditionalFormatting>
  <conditionalFormatting sqref="J106">
    <cfRule type="expression" dxfId="710" priority="708" stopIfTrue="1">
      <formula>TipoOrçamento="Licitado"</formula>
    </cfRule>
  </conditionalFormatting>
  <conditionalFormatting sqref="J56:J58">
    <cfRule type="expression" dxfId="709" priority="687" stopIfTrue="1">
      <formula>TipoOrçamento="Licitado"</formula>
    </cfRule>
  </conditionalFormatting>
  <conditionalFormatting sqref="J75:J76">
    <cfRule type="expression" dxfId="708" priority="657" stopIfTrue="1">
      <formula>TipoOrçamento="Licitado"</formula>
    </cfRule>
  </conditionalFormatting>
  <conditionalFormatting sqref="J65">
    <cfRule type="expression" dxfId="707" priority="636" stopIfTrue="1">
      <formula>TipoOrçamento="Licitado"</formula>
    </cfRule>
  </conditionalFormatting>
  <conditionalFormatting sqref="J67">
    <cfRule type="expression" dxfId="706" priority="615" stopIfTrue="1">
      <formula>TipoOrçamento="Licitado"</formula>
    </cfRule>
  </conditionalFormatting>
  <conditionalFormatting sqref="J68">
    <cfRule type="expression" dxfId="705" priority="594" stopIfTrue="1">
      <formula>TipoOrçamento="Licitado"</formula>
    </cfRule>
  </conditionalFormatting>
  <conditionalFormatting sqref="J69">
    <cfRule type="expression" dxfId="704" priority="573" stopIfTrue="1">
      <formula>TipoOrçamento="Licitado"</formula>
    </cfRule>
  </conditionalFormatting>
  <conditionalFormatting sqref="J72">
    <cfRule type="expression" dxfId="703" priority="552" stopIfTrue="1">
      <formula>TipoOrçamento="Licitado"</formula>
    </cfRule>
  </conditionalFormatting>
  <conditionalFormatting sqref="J73">
    <cfRule type="expression" dxfId="702" priority="531" stopIfTrue="1">
      <formula>TipoOrçamento="Licitado"</formula>
    </cfRule>
  </conditionalFormatting>
  <conditionalFormatting sqref="J116:J117">
    <cfRule type="expression" dxfId="701" priority="510" stopIfTrue="1">
      <formula>TipoOrçamento="Licitado"</formula>
    </cfRule>
  </conditionalFormatting>
  <conditionalFormatting sqref="J111:J113">
    <cfRule type="expression" dxfId="700" priority="486" stopIfTrue="1">
      <formula>TipoOrçamento="Licitado"</formula>
    </cfRule>
  </conditionalFormatting>
  <conditionalFormatting sqref="J74">
    <cfRule type="expression" dxfId="699" priority="453" stopIfTrue="1">
      <formula>TipoOrçamento="Licitado"</formula>
    </cfRule>
  </conditionalFormatting>
  <conditionalFormatting sqref="J39">
    <cfRule type="expression" dxfId="698" priority="432" stopIfTrue="1">
      <formula>TipoOrçamento="Licitado"</formula>
    </cfRule>
  </conditionalFormatting>
  <conditionalFormatting sqref="J86">
    <cfRule type="expression" dxfId="697" priority="411" stopIfTrue="1">
      <formula>TipoOrçamento="Licitado"</formula>
    </cfRule>
  </conditionalFormatting>
  <conditionalFormatting sqref="J89">
    <cfRule type="expression" dxfId="696" priority="390" stopIfTrue="1">
      <formula>TipoOrçamento="Licitado"</formula>
    </cfRule>
  </conditionalFormatting>
  <conditionalFormatting sqref="J66">
    <cfRule type="expression" dxfId="695" priority="369" stopIfTrue="1">
      <formula>TipoOrçamento="Licitado"</formula>
    </cfRule>
  </conditionalFormatting>
  <conditionalFormatting sqref="K23:K24">
    <cfRule type="expression" dxfId="694" priority="335" stopIfTrue="1">
      <formula>$J23=$C$2</formula>
    </cfRule>
    <cfRule type="expression" dxfId="693" priority="336" stopIfTrue="1">
      <formula>AND($J23&lt;&gt;"",$J23&lt;&gt;"Serviço")</formula>
    </cfRule>
    <cfRule type="expression" dxfId="692" priority="337" stopIfTrue="1">
      <formula>$J23=""</formula>
    </cfRule>
  </conditionalFormatting>
  <conditionalFormatting sqref="P23:P24">
    <cfRule type="expression" dxfId="691" priority="328" stopIfTrue="1">
      <formula>$J23=$C$2</formula>
    </cfRule>
    <cfRule type="expression" dxfId="690" priority="338" stopIfTrue="1">
      <formula>AND($J23&lt;&gt;"Serviço")</formula>
    </cfRule>
    <cfRule type="expression" dxfId="689" priority="339" stopIfTrue="1">
      <formula>CELL("proteger",P23)</formula>
    </cfRule>
  </conditionalFormatting>
  <conditionalFormatting sqref="Q23:R24">
    <cfRule type="expression" dxfId="688" priority="340" stopIfTrue="1">
      <formula>$J23=$C$2</formula>
    </cfRule>
    <cfRule type="expression" dxfId="687" priority="341" stopIfTrue="1">
      <formula>$J23&lt;&gt;"Serviço"</formula>
    </cfRule>
    <cfRule type="expression" dxfId="686" priority="342" stopIfTrue="1">
      <formula>CELL("proteger",Q23)</formula>
    </cfRule>
  </conditionalFormatting>
  <conditionalFormatting sqref="S23:T24 Y23:Z24">
    <cfRule type="expression" dxfId="685" priority="343" stopIfTrue="1">
      <formula>$J23=$C$2</formula>
    </cfRule>
    <cfRule type="expression" dxfId="684" priority="344" stopIfTrue="1">
      <formula>$J23&lt;&gt;"Serviço"</formula>
    </cfRule>
  </conditionalFormatting>
  <conditionalFormatting sqref="M23:M24">
    <cfRule type="expression" dxfId="683" priority="345" stopIfTrue="1">
      <formula>$J23=$C$2</formula>
    </cfRule>
    <cfRule type="expression" dxfId="682" priority="346" stopIfTrue="1">
      <formula>$J23&lt;&gt;"Serviço"</formula>
    </cfRule>
    <cfRule type="expression" dxfId="681" priority="347" stopIfTrue="1">
      <formula>OR(CELL("proteger",M23),$J23="",TipoOrçamento="Licitado")</formula>
    </cfRule>
  </conditionalFormatting>
  <conditionalFormatting sqref="J23:J24">
    <cfRule type="expression" dxfId="680" priority="348" stopIfTrue="1">
      <formula>TipoOrçamento="Licitado"</formula>
    </cfRule>
  </conditionalFormatting>
  <conditionalFormatting sqref="O23:O24">
    <cfRule type="expression" dxfId="679" priority="329" stopIfTrue="1">
      <formula>$J23=$C$2</formula>
    </cfRule>
    <cfRule type="expression" dxfId="678" priority="330" stopIfTrue="1">
      <formula>AND($J23&lt;&gt;"Serviço")</formula>
    </cfRule>
    <cfRule type="expression" dxfId="677" priority="331" stopIfTrue="1">
      <formula>CELL("proteger",O23)</formula>
    </cfRule>
  </conditionalFormatting>
  <conditionalFormatting sqref="N23:N24">
    <cfRule type="expression" dxfId="676" priority="332" stopIfTrue="1">
      <formula>$J23=$C$2</formula>
    </cfRule>
    <cfRule type="expression" dxfId="675" priority="333" stopIfTrue="1">
      <formula>$J23&lt;&gt;"Serviço"</formula>
    </cfRule>
    <cfRule type="expression" dxfId="674" priority="334" stopIfTrue="1">
      <formula>CELL("proteger",N23)</formula>
    </cfRule>
  </conditionalFormatting>
  <conditionalFormatting sqref="J59">
    <cfRule type="expression" dxfId="673" priority="327" stopIfTrue="1">
      <formula>TipoOrçamento="Licitado"</formula>
    </cfRule>
  </conditionalFormatting>
  <conditionalFormatting sqref="J107">
    <cfRule type="expression" dxfId="672" priority="306" stopIfTrue="1">
      <formula>TipoOrçamento="Licitado"</formula>
    </cfRule>
  </conditionalFormatting>
  <conditionalFormatting sqref="J77">
    <cfRule type="expression" dxfId="671" priority="285" stopIfTrue="1">
      <formula>TipoOrçamento="Licitado"</formula>
    </cfRule>
  </conditionalFormatting>
  <conditionalFormatting sqref="J78">
    <cfRule type="expression" dxfId="670" priority="264" stopIfTrue="1">
      <formula>TipoOrçamento="Licitado"</formula>
    </cfRule>
  </conditionalFormatting>
  <conditionalFormatting sqref="J79">
    <cfRule type="expression" dxfId="669" priority="240" stopIfTrue="1">
      <formula>TipoOrçamento="Licitado"</formula>
    </cfRule>
  </conditionalFormatting>
  <conditionalFormatting sqref="J47">
    <cfRule type="expression" dxfId="668" priority="219" stopIfTrue="1">
      <formula>TipoOrçamento="Licitado"</formula>
    </cfRule>
  </conditionalFormatting>
  <conditionalFormatting sqref="J94">
    <cfRule type="expression" dxfId="667" priority="198" stopIfTrue="1">
      <formula>TipoOrçamento="Licitado"</formula>
    </cfRule>
  </conditionalFormatting>
  <conditionalFormatting sqref="K97">
    <cfRule type="expression" dxfId="666" priority="164" stopIfTrue="1">
      <formula>$J97=$C$2</formula>
    </cfRule>
    <cfRule type="expression" dxfId="665" priority="165" stopIfTrue="1">
      <formula>AND($J97&lt;&gt;"",$J97&lt;&gt;"Serviço")</formula>
    </cfRule>
    <cfRule type="expression" dxfId="664" priority="166" stopIfTrue="1">
      <formula>$J97=""</formula>
    </cfRule>
  </conditionalFormatting>
  <conditionalFormatting sqref="P97">
    <cfRule type="expression" dxfId="663" priority="157" stopIfTrue="1">
      <formula>$J97=$C$2</formula>
    </cfRule>
    <cfRule type="expression" dxfId="662" priority="167" stopIfTrue="1">
      <formula>AND($J97&lt;&gt;"Serviço")</formula>
    </cfRule>
    <cfRule type="expression" dxfId="661" priority="168" stopIfTrue="1">
      <formula>CELL("proteger",P97)</formula>
    </cfRule>
  </conditionalFormatting>
  <conditionalFormatting sqref="Q97:R97">
    <cfRule type="expression" dxfId="660" priority="169" stopIfTrue="1">
      <formula>$J97=$C$2</formula>
    </cfRule>
    <cfRule type="expression" dxfId="659" priority="170" stopIfTrue="1">
      <formula>$J97&lt;&gt;"Serviço"</formula>
    </cfRule>
    <cfRule type="expression" dxfId="658" priority="171" stopIfTrue="1">
      <formula>CELL("proteger",Q97)</formula>
    </cfRule>
  </conditionalFormatting>
  <conditionalFormatting sqref="S97:T97 Y97:Z97">
    <cfRule type="expression" dxfId="657" priority="172" stopIfTrue="1">
      <formula>$J97=$C$2</formula>
    </cfRule>
    <cfRule type="expression" dxfId="656" priority="173" stopIfTrue="1">
      <formula>$J97&lt;&gt;"Serviço"</formula>
    </cfRule>
  </conditionalFormatting>
  <conditionalFormatting sqref="L97:M97">
    <cfRule type="expression" dxfId="655" priority="174" stopIfTrue="1">
      <formula>$J97=$C$2</formula>
    </cfRule>
    <cfRule type="expression" dxfId="654" priority="175" stopIfTrue="1">
      <formula>$J97&lt;&gt;"Serviço"</formula>
    </cfRule>
    <cfRule type="expression" dxfId="653" priority="176" stopIfTrue="1">
      <formula>OR(CELL("proteger",L97),$J97="",TipoOrçamento="Licitado")</formula>
    </cfRule>
  </conditionalFormatting>
  <conditionalFormatting sqref="J97">
    <cfRule type="expression" dxfId="652" priority="177" stopIfTrue="1">
      <formula>TipoOrçamento="Licitado"</formula>
    </cfRule>
  </conditionalFormatting>
  <conditionalFormatting sqref="O97">
    <cfRule type="expression" dxfId="651" priority="158" stopIfTrue="1">
      <formula>$J97=$C$2</formula>
    </cfRule>
    <cfRule type="expression" dxfId="650" priority="159" stopIfTrue="1">
      <formula>AND($J97&lt;&gt;"Serviço")</formula>
    </cfRule>
    <cfRule type="expression" dxfId="649" priority="160" stopIfTrue="1">
      <formula>CELL("proteger",O97)</formula>
    </cfRule>
  </conditionalFormatting>
  <conditionalFormatting sqref="N97">
    <cfRule type="expression" dxfId="648" priority="161" stopIfTrue="1">
      <formula>$J97=$C$2</formula>
    </cfRule>
    <cfRule type="expression" dxfId="647" priority="162" stopIfTrue="1">
      <formula>$J97&lt;&gt;"Serviço"</formula>
    </cfRule>
    <cfRule type="expression" dxfId="646" priority="163" stopIfTrue="1">
      <formula>CELL("proteger",N97)</formula>
    </cfRule>
  </conditionalFormatting>
  <conditionalFormatting sqref="K108">
    <cfRule type="expression" dxfId="645" priority="143" stopIfTrue="1">
      <formula>$J108=$C$2</formula>
    </cfRule>
    <cfRule type="expression" dxfId="644" priority="144" stopIfTrue="1">
      <formula>AND($J108&lt;&gt;"",$J108&lt;&gt;"Serviço")</formula>
    </cfRule>
    <cfRule type="expression" dxfId="643" priority="145" stopIfTrue="1">
      <formula>$J108=""</formula>
    </cfRule>
  </conditionalFormatting>
  <conditionalFormatting sqref="P108">
    <cfRule type="expression" dxfId="642" priority="136" stopIfTrue="1">
      <formula>$J108=$C$2</formula>
    </cfRule>
    <cfRule type="expression" dxfId="641" priority="146" stopIfTrue="1">
      <formula>AND($J108&lt;&gt;"Serviço")</formula>
    </cfRule>
    <cfRule type="expression" dxfId="640" priority="147" stopIfTrue="1">
      <formula>CELL("proteger",P108)</formula>
    </cfRule>
  </conditionalFormatting>
  <conditionalFormatting sqref="Q108:R108">
    <cfRule type="expression" dxfId="639" priority="148" stopIfTrue="1">
      <formula>$J108=$C$2</formula>
    </cfRule>
    <cfRule type="expression" dxfId="638" priority="149" stopIfTrue="1">
      <formula>$J108&lt;&gt;"Serviço"</formula>
    </cfRule>
    <cfRule type="expression" dxfId="637" priority="150" stopIfTrue="1">
      <formula>CELL("proteger",Q108)</formula>
    </cfRule>
  </conditionalFormatting>
  <conditionalFormatting sqref="S108:T108 Y108:Z108">
    <cfRule type="expression" dxfId="636" priority="151" stopIfTrue="1">
      <formula>$J108=$C$2</formula>
    </cfRule>
    <cfRule type="expression" dxfId="635" priority="152" stopIfTrue="1">
      <formula>$J108&lt;&gt;"Serviço"</formula>
    </cfRule>
  </conditionalFormatting>
  <conditionalFormatting sqref="M108">
    <cfRule type="expression" dxfId="634" priority="153" stopIfTrue="1">
      <formula>$J108=$C$2</formula>
    </cfRule>
    <cfRule type="expression" dxfId="633" priority="154" stopIfTrue="1">
      <formula>$J108&lt;&gt;"Serviço"</formula>
    </cfRule>
    <cfRule type="expression" dxfId="632" priority="155" stopIfTrue="1">
      <formula>OR(CELL("proteger",M108),$J108="",TipoOrçamento="Licitado")</formula>
    </cfRule>
  </conditionalFormatting>
  <conditionalFormatting sqref="J108">
    <cfRule type="expression" dxfId="631" priority="156" stopIfTrue="1">
      <formula>TipoOrçamento="Licitado"</formula>
    </cfRule>
  </conditionalFormatting>
  <conditionalFormatting sqref="O108">
    <cfRule type="expression" dxfId="630" priority="137" stopIfTrue="1">
      <formula>$J108=$C$2</formula>
    </cfRule>
    <cfRule type="expression" dxfId="629" priority="138" stopIfTrue="1">
      <formula>AND($J108&lt;&gt;"Serviço")</formula>
    </cfRule>
    <cfRule type="expression" dxfId="628" priority="139" stopIfTrue="1">
      <formula>CELL("proteger",O108)</formula>
    </cfRule>
  </conditionalFormatting>
  <conditionalFormatting sqref="N108">
    <cfRule type="expression" dxfId="627" priority="140" stopIfTrue="1">
      <formula>$J108=$C$2</formula>
    </cfRule>
    <cfRule type="expression" dxfId="626" priority="141" stopIfTrue="1">
      <formula>$J108&lt;&gt;"Serviço"</formula>
    </cfRule>
    <cfRule type="expression" dxfId="625" priority="142" stopIfTrue="1">
      <formula>CELL("proteger",N108)</formula>
    </cfRule>
  </conditionalFormatting>
  <conditionalFormatting sqref="L108">
    <cfRule type="expression" dxfId="624" priority="133" stopIfTrue="1">
      <formula>$J108=$C$2</formula>
    </cfRule>
    <cfRule type="expression" dxfId="623" priority="134" stopIfTrue="1">
      <formula>$J108&lt;&gt;"Serviço"</formula>
    </cfRule>
    <cfRule type="expression" dxfId="622" priority="135" stopIfTrue="1">
      <formula>OR(CELL("proteger",L108),$J108="",TipoOrçamento="Licitado")</formula>
    </cfRule>
  </conditionalFormatting>
  <conditionalFormatting sqref="K60">
    <cfRule type="expression" dxfId="621" priority="119" stopIfTrue="1">
      <formula>$J60=$C$2</formula>
    </cfRule>
    <cfRule type="expression" dxfId="620" priority="120" stopIfTrue="1">
      <formula>AND($J60&lt;&gt;"",$J60&lt;&gt;"Serviço")</formula>
    </cfRule>
    <cfRule type="expression" dxfId="619" priority="121" stopIfTrue="1">
      <formula>$J60=""</formula>
    </cfRule>
  </conditionalFormatting>
  <conditionalFormatting sqref="P60">
    <cfRule type="expression" dxfId="618" priority="112" stopIfTrue="1">
      <formula>$J60=$C$2</formula>
    </cfRule>
    <cfRule type="expression" dxfId="617" priority="122" stopIfTrue="1">
      <formula>AND($J60&lt;&gt;"Serviço")</formula>
    </cfRule>
    <cfRule type="expression" dxfId="616" priority="123" stopIfTrue="1">
      <formula>CELL("proteger",P60)</formula>
    </cfRule>
  </conditionalFormatting>
  <conditionalFormatting sqref="Q60:R60">
    <cfRule type="expression" dxfId="615" priority="124" stopIfTrue="1">
      <formula>$J60=$C$2</formula>
    </cfRule>
    <cfRule type="expression" dxfId="614" priority="125" stopIfTrue="1">
      <formula>$J60&lt;&gt;"Serviço"</formula>
    </cfRule>
    <cfRule type="expression" dxfId="613" priority="126" stopIfTrue="1">
      <formula>CELL("proteger",Q60)</formula>
    </cfRule>
  </conditionalFormatting>
  <conditionalFormatting sqref="S60:T60 Y60:Z60">
    <cfRule type="expression" dxfId="612" priority="127" stopIfTrue="1">
      <formula>$J60=$C$2</formula>
    </cfRule>
    <cfRule type="expression" dxfId="611" priority="128" stopIfTrue="1">
      <formula>$J60&lt;&gt;"Serviço"</formula>
    </cfRule>
  </conditionalFormatting>
  <conditionalFormatting sqref="M60">
    <cfRule type="expression" dxfId="610" priority="129" stopIfTrue="1">
      <formula>$J60=$C$2</formula>
    </cfRule>
    <cfRule type="expression" dxfId="609" priority="130" stopIfTrue="1">
      <formula>$J60&lt;&gt;"Serviço"</formula>
    </cfRule>
    <cfRule type="expression" dxfId="608" priority="131" stopIfTrue="1">
      <formula>OR(CELL("proteger",M60),$J60="",TipoOrçamento="Licitado")</formula>
    </cfRule>
  </conditionalFormatting>
  <conditionalFormatting sqref="J60">
    <cfRule type="expression" dxfId="607" priority="132" stopIfTrue="1">
      <formula>TipoOrçamento="Licitado"</formula>
    </cfRule>
  </conditionalFormatting>
  <conditionalFormatting sqref="O60">
    <cfRule type="expression" dxfId="606" priority="113" stopIfTrue="1">
      <formula>$J60=$C$2</formula>
    </cfRule>
    <cfRule type="expression" dxfId="605" priority="114" stopIfTrue="1">
      <formula>AND($J60&lt;&gt;"Serviço")</formula>
    </cfRule>
    <cfRule type="expression" dxfId="604" priority="115" stopIfTrue="1">
      <formula>CELL("proteger",O60)</formula>
    </cfRule>
  </conditionalFormatting>
  <conditionalFormatting sqref="N60">
    <cfRule type="expression" dxfId="603" priority="116" stopIfTrue="1">
      <formula>$J60=$C$2</formula>
    </cfRule>
    <cfRule type="expression" dxfId="602" priority="117" stopIfTrue="1">
      <formula>$J60&lt;&gt;"Serviço"</formula>
    </cfRule>
    <cfRule type="expression" dxfId="601" priority="118" stopIfTrue="1">
      <formula>CELL("proteger",N60)</formula>
    </cfRule>
  </conditionalFormatting>
  <conditionalFormatting sqref="L60 L62:L63">
    <cfRule type="expression" dxfId="600" priority="109" stopIfTrue="1">
      <formula>$J60=$C$2</formula>
    </cfRule>
    <cfRule type="expression" dxfId="599" priority="110" stopIfTrue="1">
      <formula>$J60&lt;&gt;"Serviço"</formula>
    </cfRule>
    <cfRule type="expression" dxfId="598" priority="111" stopIfTrue="1">
      <formula>OR(CELL("proteger",L60),$J60="",TipoOrçamento="Licitado")</formula>
    </cfRule>
  </conditionalFormatting>
  <conditionalFormatting sqref="K62:K63">
    <cfRule type="expression" dxfId="597" priority="95" stopIfTrue="1">
      <formula>$J62=$C$2</formula>
    </cfRule>
    <cfRule type="expression" dxfId="596" priority="96" stopIfTrue="1">
      <formula>AND($J62&lt;&gt;"",$J62&lt;&gt;"Serviço")</formula>
    </cfRule>
    <cfRule type="expression" dxfId="595" priority="97" stopIfTrue="1">
      <formula>$J62=""</formula>
    </cfRule>
  </conditionalFormatting>
  <conditionalFormatting sqref="P62:P63">
    <cfRule type="expression" dxfId="594" priority="88" stopIfTrue="1">
      <formula>$J62=$C$2</formula>
    </cfRule>
    <cfRule type="expression" dxfId="593" priority="98" stopIfTrue="1">
      <formula>AND($J62&lt;&gt;"Serviço")</formula>
    </cfRule>
    <cfRule type="expression" dxfId="592" priority="99" stopIfTrue="1">
      <formula>CELL("proteger",P62)</formula>
    </cfRule>
  </conditionalFormatting>
  <conditionalFormatting sqref="Q62:R63">
    <cfRule type="expression" dxfId="591" priority="100" stopIfTrue="1">
      <formula>$J62=$C$2</formula>
    </cfRule>
    <cfRule type="expression" dxfId="590" priority="101" stopIfTrue="1">
      <formula>$J62&lt;&gt;"Serviço"</formula>
    </cfRule>
    <cfRule type="expression" dxfId="589" priority="102" stopIfTrue="1">
      <formula>CELL("proteger",Q62)</formula>
    </cfRule>
  </conditionalFormatting>
  <conditionalFormatting sqref="S62:T63 Y62:Z63">
    <cfRule type="expression" dxfId="588" priority="103" stopIfTrue="1">
      <formula>$J62=$C$2</formula>
    </cfRule>
    <cfRule type="expression" dxfId="587" priority="104" stopIfTrue="1">
      <formula>$J62&lt;&gt;"Serviço"</formula>
    </cfRule>
  </conditionalFormatting>
  <conditionalFormatting sqref="M62:M63">
    <cfRule type="expression" dxfId="586" priority="105" stopIfTrue="1">
      <formula>$J62=$C$2</formula>
    </cfRule>
    <cfRule type="expression" dxfId="585" priority="106" stopIfTrue="1">
      <formula>$J62&lt;&gt;"Serviço"</formula>
    </cfRule>
    <cfRule type="expression" dxfId="584" priority="107" stopIfTrue="1">
      <formula>OR(CELL("proteger",M62),$J62="",TipoOrçamento="Licitado")</formula>
    </cfRule>
  </conditionalFormatting>
  <conditionalFormatting sqref="J62:J63">
    <cfRule type="expression" dxfId="583" priority="108" stopIfTrue="1">
      <formula>TipoOrçamento="Licitado"</formula>
    </cfRule>
  </conditionalFormatting>
  <conditionalFormatting sqref="O62:O63">
    <cfRule type="expression" dxfId="582" priority="89" stopIfTrue="1">
      <formula>$J62=$C$2</formula>
    </cfRule>
    <cfRule type="expression" dxfId="581" priority="90" stopIfTrue="1">
      <formula>AND($J62&lt;&gt;"Serviço")</formula>
    </cfRule>
    <cfRule type="expression" dxfId="580" priority="91" stopIfTrue="1">
      <formula>CELL("proteger",O62)</formula>
    </cfRule>
  </conditionalFormatting>
  <conditionalFormatting sqref="N62:N63">
    <cfRule type="expression" dxfId="579" priority="92" stopIfTrue="1">
      <formula>$J62=$C$2</formula>
    </cfRule>
    <cfRule type="expression" dxfId="578" priority="93" stopIfTrue="1">
      <formula>$J62&lt;&gt;"Serviço"</formula>
    </cfRule>
    <cfRule type="expression" dxfId="577" priority="94" stopIfTrue="1">
      <formula>CELL("proteger",N62)</formula>
    </cfRule>
  </conditionalFormatting>
  <conditionalFormatting sqref="K61">
    <cfRule type="expression" dxfId="576" priority="74" stopIfTrue="1">
      <formula>$J61=$C$2</formula>
    </cfRule>
    <cfRule type="expression" dxfId="575" priority="75" stopIfTrue="1">
      <formula>AND($J61&lt;&gt;"",$J61&lt;&gt;"Serviço")</formula>
    </cfRule>
    <cfRule type="expression" dxfId="574" priority="76" stopIfTrue="1">
      <formula>$J61=""</formula>
    </cfRule>
  </conditionalFormatting>
  <conditionalFormatting sqref="P61">
    <cfRule type="expression" dxfId="573" priority="67" stopIfTrue="1">
      <formula>$J61=$C$2</formula>
    </cfRule>
    <cfRule type="expression" dxfId="572" priority="77" stopIfTrue="1">
      <formula>AND($J61&lt;&gt;"Serviço")</formula>
    </cfRule>
    <cfRule type="expression" dxfId="571" priority="78" stopIfTrue="1">
      <formula>CELL("proteger",P61)</formula>
    </cfRule>
  </conditionalFormatting>
  <conditionalFormatting sqref="Q61:R61">
    <cfRule type="expression" dxfId="570" priority="79" stopIfTrue="1">
      <formula>$J61=$C$2</formula>
    </cfRule>
    <cfRule type="expression" dxfId="569" priority="80" stopIfTrue="1">
      <formula>$J61&lt;&gt;"Serviço"</formula>
    </cfRule>
    <cfRule type="expression" dxfId="568" priority="81" stopIfTrue="1">
      <formula>CELL("proteger",Q61)</formula>
    </cfRule>
  </conditionalFormatting>
  <conditionalFormatting sqref="S61:T61 Y61:Z61">
    <cfRule type="expression" dxfId="567" priority="82" stopIfTrue="1">
      <formula>$J61=$C$2</formula>
    </cfRule>
    <cfRule type="expression" dxfId="566" priority="83" stopIfTrue="1">
      <formula>$J61&lt;&gt;"Serviço"</formula>
    </cfRule>
  </conditionalFormatting>
  <conditionalFormatting sqref="L61:M61">
    <cfRule type="expression" dxfId="565" priority="84" stopIfTrue="1">
      <formula>$J61=$C$2</formula>
    </cfRule>
    <cfRule type="expression" dxfId="564" priority="85" stopIfTrue="1">
      <formula>$J61&lt;&gt;"Serviço"</formula>
    </cfRule>
    <cfRule type="expression" dxfId="563" priority="86" stopIfTrue="1">
      <formula>OR(CELL("proteger",L61),$J61="",TipoOrçamento="Licitado")</formula>
    </cfRule>
  </conditionalFormatting>
  <conditionalFormatting sqref="J61">
    <cfRule type="expression" dxfId="562" priority="87" stopIfTrue="1">
      <formula>TipoOrçamento="Licitado"</formula>
    </cfRule>
  </conditionalFormatting>
  <conditionalFormatting sqref="O61">
    <cfRule type="expression" dxfId="561" priority="68" stopIfTrue="1">
      <formula>$J61=$C$2</formula>
    </cfRule>
    <cfRule type="expression" dxfId="560" priority="69" stopIfTrue="1">
      <formula>AND($J61&lt;&gt;"Serviço")</formula>
    </cfRule>
    <cfRule type="expression" dxfId="559" priority="70" stopIfTrue="1">
      <formula>CELL("proteger",O61)</formula>
    </cfRule>
  </conditionalFormatting>
  <conditionalFormatting sqref="N61">
    <cfRule type="expression" dxfId="558" priority="71" stopIfTrue="1">
      <formula>$J61=$C$2</formula>
    </cfRule>
    <cfRule type="expression" dxfId="557" priority="72" stopIfTrue="1">
      <formula>$J61&lt;&gt;"Serviço"</formula>
    </cfRule>
    <cfRule type="expression" dxfId="556" priority="73" stopIfTrue="1">
      <formula>CELL("proteger",N61)</formula>
    </cfRule>
  </conditionalFormatting>
  <conditionalFormatting sqref="K109">
    <cfRule type="expression" dxfId="555" priority="53" stopIfTrue="1">
      <formula>$J109=$C$2</formula>
    </cfRule>
    <cfRule type="expression" dxfId="554" priority="54" stopIfTrue="1">
      <formula>AND($J109&lt;&gt;"",$J109&lt;&gt;"Serviço")</formula>
    </cfRule>
    <cfRule type="expression" dxfId="553" priority="55" stopIfTrue="1">
      <formula>$J109=""</formula>
    </cfRule>
  </conditionalFormatting>
  <conditionalFormatting sqref="P109">
    <cfRule type="expression" dxfId="552" priority="46" stopIfTrue="1">
      <formula>$J109=$C$2</formula>
    </cfRule>
    <cfRule type="expression" dxfId="551" priority="56" stopIfTrue="1">
      <formula>AND($J109&lt;&gt;"Serviço")</formula>
    </cfRule>
    <cfRule type="expression" dxfId="550" priority="57" stopIfTrue="1">
      <formula>CELL("proteger",P109)</formula>
    </cfRule>
  </conditionalFormatting>
  <conditionalFormatting sqref="Q109:R109">
    <cfRule type="expression" dxfId="549" priority="58" stopIfTrue="1">
      <formula>$J109=$C$2</formula>
    </cfRule>
    <cfRule type="expression" dxfId="548" priority="59" stopIfTrue="1">
      <formula>$J109&lt;&gt;"Serviço"</formula>
    </cfRule>
    <cfRule type="expression" dxfId="547" priority="60" stopIfTrue="1">
      <formula>CELL("proteger",Q109)</formula>
    </cfRule>
  </conditionalFormatting>
  <conditionalFormatting sqref="S109:T109 Y109:Z109">
    <cfRule type="expression" dxfId="546" priority="61" stopIfTrue="1">
      <formula>$J109=$C$2</formula>
    </cfRule>
    <cfRule type="expression" dxfId="545" priority="62" stopIfTrue="1">
      <formula>$J109&lt;&gt;"Serviço"</formula>
    </cfRule>
  </conditionalFormatting>
  <conditionalFormatting sqref="J109">
    <cfRule type="expression" dxfId="544" priority="66" stopIfTrue="1">
      <formula>TipoOrçamento="Licitado"</formula>
    </cfRule>
  </conditionalFormatting>
  <conditionalFormatting sqref="O109">
    <cfRule type="expression" dxfId="543" priority="47" stopIfTrue="1">
      <formula>$J109=$C$2</formula>
    </cfRule>
    <cfRule type="expression" dxfId="542" priority="48" stopIfTrue="1">
      <formula>AND($J109&lt;&gt;"Serviço")</formula>
    </cfRule>
    <cfRule type="expression" dxfId="541" priority="49" stopIfTrue="1">
      <formula>CELL("proteger",O109)</formula>
    </cfRule>
  </conditionalFormatting>
  <conditionalFormatting sqref="N109">
    <cfRule type="expression" dxfId="540" priority="50" stopIfTrue="1">
      <formula>$J109=$C$2</formula>
    </cfRule>
    <cfRule type="expression" dxfId="539" priority="51" stopIfTrue="1">
      <formula>$J109&lt;&gt;"Serviço"</formula>
    </cfRule>
    <cfRule type="expression" dxfId="538" priority="52" stopIfTrue="1">
      <formula>CELL("proteger",N109)</formula>
    </cfRule>
  </conditionalFormatting>
  <conditionalFormatting sqref="L109:M109">
    <cfRule type="expression" dxfId="537" priority="43" stopIfTrue="1">
      <formula>$J109=$C$2</formula>
    </cfRule>
    <cfRule type="expression" dxfId="536" priority="44" stopIfTrue="1">
      <formula>$J109&lt;&gt;"Serviço"</formula>
    </cfRule>
    <cfRule type="expression" dxfId="535" priority="45" stopIfTrue="1">
      <formula>OR(CELL("proteger",L109),$J109="",TipoOrçamento="Licitado")</formula>
    </cfRule>
  </conditionalFormatting>
  <conditionalFormatting sqref="K130">
    <cfRule type="expression" dxfId="534" priority="8" stopIfTrue="1">
      <formula>$J130=$C$2</formula>
    </cfRule>
    <cfRule type="expression" dxfId="533" priority="9" stopIfTrue="1">
      <formula>AND($J130&lt;&gt;"",$J130&lt;&gt;"Serviço")</formula>
    </cfRule>
    <cfRule type="expression" dxfId="532" priority="10" stopIfTrue="1">
      <formula>$J130=""</formula>
    </cfRule>
  </conditionalFormatting>
  <conditionalFormatting sqref="P130">
    <cfRule type="expression" dxfId="531" priority="1" stopIfTrue="1">
      <formula>$J130=$C$2</formula>
    </cfRule>
    <cfRule type="expression" dxfId="530" priority="11" stopIfTrue="1">
      <formula>AND($J130&lt;&gt;"Serviço")</formula>
    </cfRule>
    <cfRule type="expression" dxfId="529" priority="12" stopIfTrue="1">
      <formula>CELL("proteger",P130)</formula>
    </cfRule>
  </conditionalFormatting>
  <conditionalFormatting sqref="Q130:R130">
    <cfRule type="expression" dxfId="528" priority="13" stopIfTrue="1">
      <formula>$J130=$C$2</formula>
    </cfRule>
    <cfRule type="expression" dxfId="527" priority="14" stopIfTrue="1">
      <formula>$J130&lt;&gt;"Serviço"</formula>
    </cfRule>
    <cfRule type="expression" dxfId="526" priority="15" stopIfTrue="1">
      <formula>CELL("proteger",Q130)</formula>
    </cfRule>
  </conditionalFormatting>
  <conditionalFormatting sqref="S130:T130 Y130:Z130">
    <cfRule type="expression" dxfId="525" priority="16" stopIfTrue="1">
      <formula>$J130=$C$2</formula>
    </cfRule>
    <cfRule type="expression" dxfId="524" priority="17" stopIfTrue="1">
      <formula>$J130&lt;&gt;"Serviço"</formula>
    </cfRule>
  </conditionalFormatting>
  <conditionalFormatting sqref="L130:M130">
    <cfRule type="expression" dxfId="523" priority="18" stopIfTrue="1">
      <formula>$J130=$C$2</formula>
    </cfRule>
    <cfRule type="expression" dxfId="522" priority="19" stopIfTrue="1">
      <formula>$J130&lt;&gt;"Serviço"</formula>
    </cfRule>
    <cfRule type="expression" dxfId="521" priority="20" stopIfTrue="1">
      <formula>OR(CELL("proteger",L130),$J130="",TipoOrçamento="Licitado")</formula>
    </cfRule>
  </conditionalFormatting>
  <conditionalFormatting sqref="J130">
    <cfRule type="expression" dxfId="520" priority="21" stopIfTrue="1">
      <formula>TipoOrçamento="Licitado"</formula>
    </cfRule>
  </conditionalFormatting>
  <conditionalFormatting sqref="O130">
    <cfRule type="expression" dxfId="519" priority="2" stopIfTrue="1">
      <formula>$J130=$C$2</formula>
    </cfRule>
    <cfRule type="expression" dxfId="518" priority="3" stopIfTrue="1">
      <formula>AND($J130&lt;&gt;"Serviço")</formula>
    </cfRule>
    <cfRule type="expression" dxfId="517" priority="4" stopIfTrue="1">
      <formula>CELL("proteger",O130)</formula>
    </cfRule>
  </conditionalFormatting>
  <conditionalFormatting sqref="N130">
    <cfRule type="expression" dxfId="516" priority="5" stopIfTrue="1">
      <formula>$J130=$C$2</formula>
    </cfRule>
    <cfRule type="expression" dxfId="515" priority="6" stopIfTrue="1">
      <formula>$J130&lt;&gt;"Serviço"</formula>
    </cfRule>
    <cfRule type="expression" dxfId="514" priority="7" stopIfTrue="1">
      <formula>CELL("proteger",N130)</formula>
    </cfRule>
  </conditionalFormatting>
  <dataValidations count="3">
    <dataValidation type="decimal" operator="greaterThan" allowBlank="1" showInputMessage="1" showErrorMessage="1" error="Apenas números decimais maiores que zero." sqref="Q11 Q13:Q133" xr:uid="{00000000-0002-0000-0200-000000000000}">
      <formula1>0</formula1>
    </dataValidation>
    <dataValidation type="list" errorStyle="warning" allowBlank="1" showInputMessage="1" showErrorMessage="1" error="Selecione um dos 5 BDI da lista._x000a__x000a_Caso tenha mais de 5 BDI nesta Planilha Orçamentária digite apenas valor percentual." sqref="R11 R13:R133" xr:uid="{00000000-0002-0000-0200-000001000000}">
      <formula1>Dados.Lista.BDI</formula1>
    </dataValidation>
    <dataValidation type="list" showInputMessage="1" showErrorMessage="1" errorTitle="Erro de Entrada" error="Selecione somente os itens da lista." promptTitle="Nível:" prompt="Selecione na lista o nível de itemização da Planilha." sqref="J11 J14:J133" xr:uid="{00000000-0002-0000-0200-000002000000}">
      <formula1>$C$2:$G$2</formula1>
    </dataValidation>
  </dataValidations>
  <pageMargins left="0.78740157480314998" right="0.78740157480314998" top="0.78740157480314998" bottom="0.78740157480314998" header="0.59055118110236204" footer="0.59055118110236204"/>
  <pageSetup paperSize="9" scale="62" fitToHeight="0" orientation="landscape" r:id="rId1"/>
  <headerFooter alignWithMargins="0">
    <oddHeader>&amp;C&amp;14I</oddHeader>
    <oddFooter>&amp;R&amp;P&amp;L27.476 v008   micro</oddFooter>
  </headerFooter>
  <ignoredErrors>
    <ignoredError sqref="K145 K14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7642" r:id="rId4" name="CaixaArredQuant">
              <controlPr locked="0" defaultSize="0" print="0" autoFill="0" autoLine="0" autoPict="0">
                <anchor moveWithCells="1">
                  <from>
                    <xdr:col>15</xdr:col>
                    <xdr:colOff>428625</xdr:colOff>
                    <xdr:row>7</xdr:row>
                    <xdr:rowOff>114300</xdr:rowOff>
                  </from>
                  <to>
                    <xdr:col>15</xdr:col>
                    <xdr:colOff>847725</xdr:colOff>
                    <xdr:row>7</xdr:row>
                    <xdr:rowOff>342900</xdr:rowOff>
                  </to>
                </anchor>
              </controlPr>
            </control>
          </mc:Choice>
        </mc:AlternateContent>
        <mc:AlternateContent xmlns:mc="http://schemas.openxmlformats.org/markup-compatibility/2006">
          <mc:Choice Requires="x14">
            <control shapeId="197650" r:id="rId5" name="CaixaArredCustoUnit">
              <controlPr locked="0" defaultSize="0" print="0" autoFill="0" autoLine="0" autoPict="0">
                <anchor moveWithCells="1">
                  <from>
                    <xdr:col>16</xdr:col>
                    <xdr:colOff>419100</xdr:colOff>
                    <xdr:row>7</xdr:row>
                    <xdr:rowOff>114300</xdr:rowOff>
                  </from>
                  <to>
                    <xdr:col>16</xdr:col>
                    <xdr:colOff>838200</xdr:colOff>
                    <xdr:row>7</xdr:row>
                    <xdr:rowOff>342900</xdr:rowOff>
                  </to>
                </anchor>
              </controlPr>
            </control>
          </mc:Choice>
        </mc:AlternateContent>
        <mc:AlternateContent xmlns:mc="http://schemas.openxmlformats.org/markup-compatibility/2006">
          <mc:Choice Requires="x14">
            <control shapeId="197651" r:id="rId6" name="CaixaArredBDI">
              <controlPr locked="0" defaultSize="0" print="0" autoFill="0" autoLine="0" autoPict="0">
                <anchor moveWithCells="1">
                  <from>
                    <xdr:col>17</xdr:col>
                    <xdr:colOff>257175</xdr:colOff>
                    <xdr:row>7</xdr:row>
                    <xdr:rowOff>114300</xdr:rowOff>
                  </from>
                  <to>
                    <xdr:col>17</xdr:col>
                    <xdr:colOff>676275</xdr:colOff>
                    <xdr:row>7</xdr:row>
                    <xdr:rowOff>342900</xdr:rowOff>
                  </to>
                </anchor>
              </controlPr>
            </control>
          </mc:Choice>
        </mc:AlternateContent>
        <mc:AlternateContent xmlns:mc="http://schemas.openxmlformats.org/markup-compatibility/2006">
          <mc:Choice Requires="x14">
            <control shapeId="197652" r:id="rId7" name="CaixaArredPrecoUnit">
              <controlPr locked="0" defaultSize="0" print="0" autoFill="0" autoLine="0" autoPict="0">
                <anchor moveWithCells="1">
                  <from>
                    <xdr:col>18</xdr:col>
                    <xdr:colOff>333375</xdr:colOff>
                    <xdr:row>7</xdr:row>
                    <xdr:rowOff>114300</xdr:rowOff>
                  </from>
                  <to>
                    <xdr:col>18</xdr:col>
                    <xdr:colOff>752475</xdr:colOff>
                    <xdr:row>7</xdr:row>
                    <xdr:rowOff>342900</xdr:rowOff>
                  </to>
                </anchor>
              </controlPr>
            </control>
          </mc:Choice>
        </mc:AlternateContent>
        <mc:AlternateContent xmlns:mc="http://schemas.openxmlformats.org/markup-compatibility/2006">
          <mc:Choice Requires="x14">
            <control shapeId="197660" r:id="rId8" name="CaixaArredPrecoTotal">
              <controlPr locked="0" defaultSize="0" print="0" autoFill="0" autoLine="0" autoPict="0">
                <anchor moveWithCells="1">
                  <from>
                    <xdr:col>19</xdr:col>
                    <xdr:colOff>419100</xdr:colOff>
                    <xdr:row>7</xdr:row>
                    <xdr:rowOff>104775</xdr:rowOff>
                  </from>
                  <to>
                    <xdr:col>19</xdr:col>
                    <xdr:colOff>838200</xdr:colOff>
                    <xdr:row>7</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
    <tabColor rgb="FFFFFF00"/>
  </sheetPr>
  <dimension ref="A1:U140"/>
  <sheetViews>
    <sheetView showGridLines="0" zoomScale="85" zoomScaleNormal="85" zoomScaleSheetLayoutView="100" workbookViewId="0">
      <pane xSplit="5" ySplit="10" topLeftCell="F47" activePane="bottomRight" state="frozen"/>
      <selection pane="topRight"/>
      <selection pane="bottomLeft"/>
      <selection pane="bottomRight" activeCell="K130" sqref="K130"/>
    </sheetView>
  </sheetViews>
  <sheetFormatPr defaultRowHeight="12.75" x14ac:dyDescent="0.2"/>
  <cols>
    <col min="1" max="1" width="12.7109375" customWidth="1"/>
    <col min="2" max="2" width="10.7109375" customWidth="1"/>
    <col min="3" max="3" width="60.5703125" customWidth="1"/>
    <col min="4" max="4" width="7.7109375" customWidth="1"/>
    <col min="5" max="5" width="12.7109375" customWidth="1"/>
    <col min="6" max="15" width="11.7109375" customWidth="1"/>
    <col min="16" max="16" width="0.85546875" customWidth="1"/>
    <col min="21" max="21" width="11.7109375" hidden="1" customWidth="1"/>
  </cols>
  <sheetData>
    <row r="1" spans="1:21" s="4" customFormat="1" ht="17.25" customHeight="1" x14ac:dyDescent="0.25">
      <c r="E1" s="85" t="s">
        <v>63</v>
      </c>
      <c r="F1" s="36" t="s">
        <v>64</v>
      </c>
      <c r="K1" s="18"/>
      <c r="O1"/>
    </row>
    <row r="2" spans="1:21" s="4" customFormat="1" ht="15.75" x14ac:dyDescent="0.25">
      <c r="D2" s="6"/>
      <c r="E2" s="85"/>
      <c r="F2" s="36"/>
      <c r="K2" s="19"/>
      <c r="O2"/>
    </row>
    <row r="3" spans="1:21" s="4" customFormat="1" x14ac:dyDescent="0.2">
      <c r="K3" s="20"/>
      <c r="P3" s="20"/>
    </row>
    <row r="4" spans="1:21" s="4" customFormat="1" ht="39.950000000000003" customHeight="1" x14ac:dyDescent="0.2">
      <c r="P4" s="20"/>
    </row>
    <row r="5" spans="1:21" s="4" customFormat="1" ht="39.950000000000003" customHeight="1" x14ac:dyDescent="0.2">
      <c r="P5" s="20"/>
    </row>
    <row r="6" spans="1:21" s="4" customFormat="1" ht="20.25" customHeight="1" x14ac:dyDescent="0.2">
      <c r="P6" s="20"/>
    </row>
    <row r="7" spans="1:21" s="4" customFormat="1" ht="12.75" hidden="1" customHeight="1" x14ac:dyDescent="0.2">
      <c r="E7" s="224">
        <f ca="1">OFFSET(PO!$P$12,ROW($E7)-ROW(E$12),0)</f>
        <v>0</v>
      </c>
      <c r="P7" s="20"/>
    </row>
    <row r="8" spans="1:21" s="4" customFormat="1" ht="9.9499999999999993" customHeight="1" x14ac:dyDescent="0.2">
      <c r="P8" s="20"/>
    </row>
    <row r="9" spans="1:21" s="4" customFormat="1" ht="60" customHeight="1" x14ac:dyDescent="0.2">
      <c r="B9" s="17"/>
      <c r="C9" s="14"/>
      <c r="D9" s="9"/>
      <c r="E9" s="146" t="s">
        <v>46</v>
      </c>
      <c r="F9" s="122" t="s">
        <v>268</v>
      </c>
      <c r="G9" s="122"/>
      <c r="H9" s="122"/>
      <c r="I9" s="122"/>
      <c r="J9" s="122"/>
      <c r="K9" s="122"/>
      <c r="L9" s="122"/>
      <c r="M9" s="122"/>
      <c r="N9" s="122"/>
      <c r="O9" s="122"/>
      <c r="U9" s="122"/>
    </row>
    <row r="10" spans="1:21" s="15" customFormat="1" ht="30" customHeight="1" x14ac:dyDescent="0.2">
      <c r="A10" s="123" t="s">
        <v>3</v>
      </c>
      <c r="B10" s="123" t="s">
        <v>147</v>
      </c>
      <c r="C10" s="123" t="s">
        <v>142</v>
      </c>
      <c r="D10" s="124" t="s">
        <v>158</v>
      </c>
      <c r="E10" s="123" t="s">
        <v>148</v>
      </c>
      <c r="F10" s="125">
        <f t="shared" ref="F10:O10" ca="1" si="0">IF(OFFSET(F10,0,-1)="Quantidade",1,OFFSET(F10,0,-1)+1)</f>
        <v>1</v>
      </c>
      <c r="G10" s="125">
        <f t="shared" ca="1" si="0"/>
        <v>2</v>
      </c>
      <c r="H10" s="125">
        <f t="shared" ca="1" si="0"/>
        <v>3</v>
      </c>
      <c r="I10" s="125">
        <f t="shared" ca="1" si="0"/>
        <v>4</v>
      </c>
      <c r="J10" s="125">
        <f t="shared" ca="1" si="0"/>
        <v>5</v>
      </c>
      <c r="K10" s="125">
        <f t="shared" ca="1" si="0"/>
        <v>6</v>
      </c>
      <c r="L10" s="125">
        <f t="shared" ca="1" si="0"/>
        <v>7</v>
      </c>
      <c r="M10" s="125">
        <f t="shared" ca="1" si="0"/>
        <v>8</v>
      </c>
      <c r="N10" s="125">
        <f t="shared" ca="1" si="0"/>
        <v>9</v>
      </c>
      <c r="O10" s="125">
        <f t="shared" ca="1" si="0"/>
        <v>10</v>
      </c>
      <c r="U10" s="125">
        <f ca="1">IF(OFFSET(U10,0,-1)="Quantidade",1,OFFSET(U10,0,-1)+1)</f>
        <v>1</v>
      </c>
    </row>
    <row r="11" spans="1:21" s="4" customFormat="1" hidden="1" x14ac:dyDescent="0.2">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f ca="1">OFFSET(PO!$P$12,ROW($E11)-ROW(F$12),0)</f>
        <v>0</v>
      </c>
      <c r="G11" s="215"/>
      <c r="H11" s="215"/>
      <c r="I11" s="215"/>
      <c r="J11" s="215"/>
      <c r="K11" s="215"/>
      <c r="L11" s="215"/>
      <c r="M11" s="215"/>
      <c r="N11" s="215"/>
      <c r="O11" s="215"/>
      <c r="U11" s="215"/>
    </row>
    <row r="12" spans="1:21" s="4" customFormat="1" x14ac:dyDescent="0.2">
      <c r="A12" s="76" t="str">
        <f>PO!J12</f>
        <v>LOTE</v>
      </c>
      <c r="B12" s="76"/>
      <c r="C12" s="76" t="str">
        <f>PO!N12</f>
        <v>GINÁSIO DE ESPORTE MUNICIPAL MULTIUSO – 5ª ETAPA</v>
      </c>
      <c r="D12" s="76"/>
      <c r="E12" s="216"/>
      <c r="F12" s="217"/>
      <c r="G12" s="217"/>
      <c r="H12" s="217"/>
      <c r="I12" s="217"/>
      <c r="J12" s="217"/>
      <c r="K12" s="217"/>
      <c r="L12" s="217"/>
      <c r="M12" s="217"/>
      <c r="N12" s="217"/>
      <c r="O12" s="217"/>
      <c r="U12" s="217"/>
    </row>
    <row r="13" spans="1:21" s="4" customFormat="1" x14ac:dyDescent="0.2">
      <c r="A13" s="126" t="str">
        <f ca="1">OFFSET(PO!J$12,ROW(A13)-ROW($A$12),0)</f>
        <v>Meta</v>
      </c>
      <c r="B13" s="130" t="str">
        <f ca="1">IF($A13=0,"",OFFSET(PO!K$12,ROW(B13)-ROW(B$12),0))</f>
        <v>1.</v>
      </c>
      <c r="C13" s="127" t="str">
        <f ca="1">IF(OFFSET(PO!N$12,ROW(C13)-ROW(C$12),0)=0,"",OFFSET(PO!N$12,ROW(C13)-ROW(C$12),0))</f>
        <v>SERVIÇOS INICIAIS</v>
      </c>
      <c r="D13" s="129" t="str">
        <f ca="1">IF(OFFSET(PO!O$12,ROW(D13)-ROW(D$12),0)=0,"",OFFSET(PO!O$12,ROW(D13)-ROW(D$12),0))</f>
        <v/>
      </c>
      <c r="E13" s="165">
        <f ca="1">IF($A13&lt;&gt;"Serviço",0,ROUND(SUMIF($F$9:$P$9,"&lt;&gt;",$F13:$P13),15-13*PO!$X$3))</f>
        <v>0</v>
      </c>
      <c r="F13" s="215">
        <f ca="1">OFFSET(PO!$P$12,ROW($E13)-ROW(F$12),0)</f>
        <v>0</v>
      </c>
      <c r="G13" s="215"/>
      <c r="H13" s="215"/>
      <c r="I13" s="215"/>
      <c r="J13" s="215"/>
      <c r="K13" s="215"/>
      <c r="L13" s="215"/>
      <c r="M13" s="215"/>
      <c r="N13" s="215"/>
      <c r="O13" s="215"/>
      <c r="U13" s="215"/>
    </row>
    <row r="14" spans="1:21" s="4" customFormat="1" x14ac:dyDescent="0.2">
      <c r="A14" s="128" t="str">
        <f ca="1">OFFSET(PO!J$12,ROW(A14)-ROW($A$12),0)</f>
        <v>Serviço</v>
      </c>
      <c r="B14" s="130" t="str">
        <f ca="1">IF($A14=0,"",OFFSET(PO!K$12,ROW(B14)-ROW(B$12),0))</f>
        <v>1.0.1.</v>
      </c>
      <c r="C14" s="127" t="str">
        <f ca="1">IF(OFFSET(PO!N$12,ROW(C14)-ROW(C$12),0)=0,"",OFFSET(PO!N$12,ROW(C14)-ROW(C$12),0))</f>
        <v>PLACA DE OBRA EM CHAPA GALVANIZADA *N. 22*, ADESIVADA</v>
      </c>
      <c r="D14" s="129" t="str">
        <f ca="1">IF(OFFSET(PO!O$12,ROW(D14)-ROW(D$12),0)=0,"",OFFSET(PO!O$12,ROW(D14)-ROW(D$12),0))</f>
        <v xml:space="preserve">M2    </v>
      </c>
      <c r="E14" s="165">
        <f ca="1">IF($A14&lt;&gt;"Serviço",0,ROUND(SUMIF($F$9:$P$9,"&lt;&gt;",$F14:$P14),15-13*PO!$X$3))</f>
        <v>2.88</v>
      </c>
      <c r="F14" s="215">
        <f ca="1">OFFSET(PO!$P$12,ROW($E14)-ROW(F$12),0)</f>
        <v>2.88</v>
      </c>
      <c r="G14" s="215"/>
      <c r="H14" s="215"/>
      <c r="I14" s="215"/>
      <c r="J14" s="215"/>
      <c r="K14" s="215"/>
      <c r="L14" s="215"/>
      <c r="M14" s="215"/>
      <c r="N14" s="215"/>
      <c r="O14" s="215"/>
      <c r="U14" s="215"/>
    </row>
    <row r="15" spans="1:21" s="4" customFormat="1" x14ac:dyDescent="0.2">
      <c r="A15" s="128" t="str">
        <f ca="1">OFFSET(PO!J$12,ROW(A15)-ROW($A$12),0)</f>
        <v>Serviço</v>
      </c>
      <c r="B15" s="130" t="str">
        <f ca="1">IF($A15=0,"",OFFSET(PO!K$12,ROW(B15)-ROW(B$12),0))</f>
        <v>1.0.2.</v>
      </c>
      <c r="C15" s="127" t="str">
        <f ca="1">IF(OFFSET(PO!N$12,ROW(C15)-ROW(C$12),0)=0,"",OFFSET(PO!N$12,ROW(C15)-ROW(C$12),0))</f>
        <v>TAPUME COM TELHA METÁLICA. AF_05/2018</v>
      </c>
      <c r="D15" s="129" t="str">
        <f ca="1">IF(OFFSET(PO!O$12,ROW(D15)-ROW(D$12),0)=0,"",OFFSET(PO!O$12,ROW(D15)-ROW(D$12),0))</f>
        <v>M2</v>
      </c>
      <c r="E15" s="165">
        <f ca="1">IF($A15&lt;&gt;"Serviço",0,ROUND(SUMIF($F$9:$P$9,"&lt;&gt;",$F15:$P15),15-13*PO!$X$3))</f>
        <v>180</v>
      </c>
      <c r="F15" s="215">
        <f ca="1">OFFSET(PO!$P$12,ROW($E15)-ROW(F$12),0)</f>
        <v>180</v>
      </c>
      <c r="G15" s="215"/>
      <c r="H15" s="215"/>
      <c r="I15" s="215"/>
      <c r="J15" s="215"/>
      <c r="K15" s="215"/>
      <c r="L15" s="215"/>
      <c r="M15" s="215"/>
      <c r="N15" s="215"/>
      <c r="O15" s="215"/>
      <c r="U15" s="215"/>
    </row>
    <row r="16" spans="1:21" s="4" customFormat="1" x14ac:dyDescent="0.2">
      <c r="A16" s="128" t="str">
        <f ca="1">OFFSET(PO!J$12,ROW(A16)-ROW($A$12),0)</f>
        <v>Serviço</v>
      </c>
      <c r="B16" s="130" t="str">
        <f ca="1">IF($A16=0,"",OFFSET(PO!K$12,ROW(B16)-ROW(B$12),0))</f>
        <v>1.0.3.</v>
      </c>
      <c r="C16" s="127" t="str">
        <f ca="1">IF(OFFSET(PO!N$12,ROW(C16)-ROW(C$12),0)=0,"",OFFSET(PO!N$12,ROW(C16)-ROW(C$12),0))</f>
        <v>LIMPEZA DE PAREDES COM JATO DE ALTA PRESSÃO.</v>
      </c>
      <c r="D16" s="129" t="str">
        <f ca="1">IF(OFFSET(PO!O$12,ROW(D16)-ROW(D$12),0)=0,"",OFFSET(PO!O$12,ROW(D16)-ROW(D$12),0))</f>
        <v>M2</v>
      </c>
      <c r="E16" s="165">
        <f ca="1">IF($A16&lt;&gt;"Serviço",0,ROUND(SUMIF($F$9:$P$9,"&lt;&gt;",$F16:$P16),15-13*PO!$X$3))</f>
        <v>1856.42</v>
      </c>
      <c r="F16" s="215">
        <f ca="1">OFFSET(PO!$P$12,ROW($E16)-ROW(F$12),0)</f>
        <v>1856.42</v>
      </c>
      <c r="G16" s="215"/>
      <c r="H16" s="215"/>
      <c r="I16" s="215"/>
      <c r="J16" s="215"/>
      <c r="K16" s="215"/>
      <c r="L16" s="215"/>
      <c r="M16" s="215"/>
      <c r="N16" s="215"/>
      <c r="O16" s="215"/>
      <c r="U16" s="215"/>
    </row>
    <row r="17" spans="1:21" s="4" customFormat="1" ht="25.5" x14ac:dyDescent="0.2">
      <c r="A17" s="128" t="str">
        <f ca="1">OFFSET(PO!J$12,ROW(A17)-ROW($A$12),0)</f>
        <v>Serviço</v>
      </c>
      <c r="B17" s="130" t="str">
        <f ca="1">IF($A17=0,"",OFFSET(PO!K$12,ROW(B17)-ROW(B$12),0))</f>
        <v>1.0.4.</v>
      </c>
      <c r="C17" s="127" t="str">
        <f ca="1">IF(OFFSET(PO!N$12,ROW(C17)-ROW(C$12),0)=0,"",OFFSET(PO!N$12,ROW(C17)-ROW(C$12),0))</f>
        <v>DEMOLIÇÃO DE ALVENARIA DE TIJOLO MACIÇO, DE FORMA MANUAL, SEM REAPROVEITAMENTO.</v>
      </c>
      <c r="D17" s="129" t="str">
        <f ca="1">IF(OFFSET(PO!O$12,ROW(D17)-ROW(D$12),0)=0,"",OFFSET(PO!O$12,ROW(D17)-ROW(D$12),0))</f>
        <v>M3</v>
      </c>
      <c r="E17" s="165">
        <f ca="1">IF($A17&lt;&gt;"Serviço",0,ROUND(SUMIF($F$9:$P$9,"&lt;&gt;",$F17:$P17),15-13*PO!$X$3))</f>
        <v>1.27</v>
      </c>
      <c r="F17" s="215">
        <f ca="1">OFFSET(PO!$P$12,ROW($E17)-ROW(F$12),0)</f>
        <v>1.27</v>
      </c>
      <c r="G17" s="215"/>
      <c r="H17" s="215"/>
      <c r="I17" s="215"/>
      <c r="J17" s="215"/>
      <c r="K17" s="215"/>
      <c r="L17" s="215"/>
      <c r="M17" s="215"/>
      <c r="N17" s="215"/>
      <c r="O17" s="215"/>
      <c r="U17" s="215"/>
    </row>
    <row r="18" spans="1:21" s="4" customFormat="1" ht="25.5" x14ac:dyDescent="0.2">
      <c r="A18" s="128" t="str">
        <f ca="1">OFFSET(PO!J$12,ROW(A18)-ROW($A$12),0)</f>
        <v>Serviço</v>
      </c>
      <c r="B18" s="130" t="str">
        <f ca="1">IF($A18=0,"",OFFSET(PO!K$12,ROW(B18)-ROW(B$12),0))</f>
        <v>1.0.5.</v>
      </c>
      <c r="C18" s="127" t="str">
        <f ca="1">IF(OFFSET(PO!N$12,ROW(C18)-ROW(C$12),0)=0,"",OFFSET(PO!N$12,ROW(C18)-ROW(C$12),0))</f>
        <v>DEMOLIÇÃO DE REVESTIMENTO CERÂMICO - PISOS E PAREDES - DE FORMA MANUAL, SEM REAPROVEITAMENTO.</v>
      </c>
      <c r="D18" s="129" t="str">
        <f ca="1">IF(OFFSET(PO!O$12,ROW(D18)-ROW(D$12),0)=0,"",OFFSET(PO!O$12,ROW(D18)-ROW(D$12),0))</f>
        <v>M2</v>
      </c>
      <c r="E18" s="165">
        <f ca="1">IF($A18&lt;&gt;"Serviço",0,ROUND(SUMIF($F$9:$P$9,"&lt;&gt;",$F18:$P18),15-13*PO!$X$3))</f>
        <v>346.07</v>
      </c>
      <c r="F18" s="215">
        <f ca="1">OFFSET(PO!$P$12,ROW($E18)-ROW(F$12),0)</f>
        <v>346.07</v>
      </c>
      <c r="G18" s="215"/>
      <c r="H18" s="215"/>
      <c r="I18" s="215"/>
      <c r="J18" s="215"/>
      <c r="K18" s="215"/>
      <c r="L18" s="215"/>
      <c r="M18" s="215"/>
      <c r="N18" s="215"/>
      <c r="O18" s="215"/>
      <c r="U18" s="215"/>
    </row>
    <row r="19" spans="1:21" s="4" customFormat="1" ht="25.5" x14ac:dyDescent="0.2">
      <c r="A19" s="128" t="str">
        <f ca="1">OFFSET(PO!J$12,ROW(A19)-ROW($A$12),0)</f>
        <v>Serviço</v>
      </c>
      <c r="B19" s="130" t="str">
        <f ca="1">IF($A19=0,"",OFFSET(PO!K$12,ROW(B19)-ROW(B$12),0))</f>
        <v>1.0.6.</v>
      </c>
      <c r="C19" s="127" t="str">
        <f ca="1">IF(OFFSET(PO!N$12,ROW(C19)-ROW(C$12),0)=0,"",OFFSET(PO!N$12,ROW(C19)-ROW(C$12),0))</f>
        <v>DEMOLIÇÃO DE ARGAMASSAS - PAREDES E TETO - DE FORMA MANUAL, SEM REAPROVEITAMENTO.</v>
      </c>
      <c r="D19" s="129" t="str">
        <f ca="1">IF(OFFSET(PO!O$12,ROW(D19)-ROW(D$12),0)=0,"",OFFSET(PO!O$12,ROW(D19)-ROW(D$12),0))</f>
        <v>M2</v>
      </c>
      <c r="E19" s="165">
        <f ca="1">IF($A19&lt;&gt;"Serviço",0,ROUND(SUMIF($F$9:$P$9,"&lt;&gt;",$F19:$P19),15-13*PO!$X$3))</f>
        <v>219.7</v>
      </c>
      <c r="F19" s="215">
        <f ca="1">OFFSET(PO!$P$12,ROW($E19)-ROW(F$12),0)</f>
        <v>219.7</v>
      </c>
      <c r="G19" s="215"/>
      <c r="H19" s="215"/>
      <c r="I19" s="215"/>
      <c r="J19" s="215"/>
      <c r="K19" s="215"/>
      <c r="L19" s="215"/>
      <c r="M19" s="215"/>
      <c r="N19" s="215"/>
      <c r="O19" s="215"/>
      <c r="U19" s="215"/>
    </row>
    <row r="20" spans="1:21" s="4" customFormat="1" ht="38.25" x14ac:dyDescent="0.2">
      <c r="A20" s="128" t="str">
        <f ca="1">OFFSET(PO!J$12,ROW(A20)-ROW($A$12),0)</f>
        <v>Serviço</v>
      </c>
      <c r="B20" s="130" t="str">
        <f ca="1">IF($A20=0,"",OFFSET(PO!K$12,ROW(B20)-ROW(B$12),0))</f>
        <v>1.0.7.</v>
      </c>
      <c r="C20" s="127" t="str">
        <f ca="1">IF(OFFSET(PO!N$12,ROW(C20)-ROW(C$12),0)=0,"",OFFSET(PO!N$12,ROW(C20)-ROW(C$12),0))</f>
        <v>ALVENARIA EM TIJOLO CERAMICO MACICO 5X10X20CM (ESPESSURA 20CM), ASSENTADO COM ARGAMASSA TRACO 1:2:8 (CIMENTO, CAL E AREIA)</v>
      </c>
      <c r="D20" s="129" t="str">
        <f ca="1">IF(OFFSET(PO!O$12,ROW(D20)-ROW(D$12),0)=0,"",OFFSET(PO!O$12,ROW(D20)-ROW(D$12),0))</f>
        <v>M2</v>
      </c>
      <c r="E20" s="165">
        <f ca="1">IF($A20&lt;&gt;"Serviço",0,ROUND(SUMIF($F$9:$P$9,"&lt;&gt;",$F20:$P20),15-13*PO!$X$3))</f>
        <v>53.28</v>
      </c>
      <c r="F20" s="215">
        <f ca="1">OFFSET(PO!$P$12,ROW($E20)-ROW(F$12),0)</f>
        <v>53.28</v>
      </c>
      <c r="G20" s="215"/>
      <c r="H20" s="215"/>
      <c r="I20" s="215"/>
      <c r="J20" s="215"/>
      <c r="K20" s="215"/>
      <c r="L20" s="215"/>
      <c r="M20" s="215"/>
      <c r="N20" s="215"/>
      <c r="O20" s="215"/>
      <c r="U20" s="215"/>
    </row>
    <row r="21" spans="1:21" s="4" customFormat="1" x14ac:dyDescent="0.2">
      <c r="A21" s="128" t="str">
        <f ca="1">OFFSET(PO!J$12,ROW(A21)-ROW($A$12),0)</f>
        <v>Serviço</v>
      </c>
      <c r="B21" s="130" t="str">
        <f ca="1">IF($A21=0,"",OFFSET(PO!K$12,ROW(B21)-ROW(B$12),0))</f>
        <v>1.0.8.</v>
      </c>
      <c r="C21" s="127" t="str">
        <f ca="1">IF(OFFSET(PO!N$12,ROW(C21)-ROW(C$12),0)=0,"",OFFSET(PO!N$12,ROW(C21)-ROW(C$12),0))</f>
        <v>CARGA MANUAL DE ENTULHO EM CAMINHAO BASCULANTE</v>
      </c>
      <c r="D21" s="129" t="str">
        <f ca="1">IF(OFFSET(PO!O$12,ROW(D21)-ROW(D$12),0)=0,"",OFFSET(PO!O$12,ROW(D21)-ROW(D$12),0))</f>
        <v>M3</v>
      </c>
      <c r="E21" s="165">
        <f ca="1">IF($A21&lt;&gt;"Serviço",0,ROUND(SUMIF($F$9:$P$9,"&lt;&gt;",$F21:$P21),15-13*PO!$X$3))</f>
        <v>13.01</v>
      </c>
      <c r="F21" s="215">
        <f ca="1">OFFSET(PO!$P$12,ROW($E21)-ROW(F$12),0)</f>
        <v>13.01</v>
      </c>
      <c r="G21" s="215"/>
      <c r="H21" s="215"/>
      <c r="I21" s="215"/>
      <c r="J21" s="215"/>
      <c r="K21" s="215"/>
      <c r="L21" s="215"/>
      <c r="M21" s="215"/>
      <c r="N21" s="215"/>
      <c r="O21" s="215"/>
      <c r="U21" s="215"/>
    </row>
    <row r="22" spans="1:21" s="4" customFormat="1" x14ac:dyDescent="0.2">
      <c r="A22" s="128" t="str">
        <f ca="1">OFFSET(PO!J$12,ROW(A22)-ROW($A$12),0)</f>
        <v>Serviço</v>
      </c>
      <c r="B22" s="130" t="str">
        <f ca="1">IF($A22=0,"",OFFSET(PO!K$12,ROW(B22)-ROW(B$12),0))</f>
        <v>1.0.9.</v>
      </c>
      <c r="C22" s="127" t="str">
        <f ca="1">IF(OFFSET(PO!N$12,ROW(C22)-ROW(C$12),0)=0,"",OFFSET(PO!N$12,ROW(C22)-ROW(C$12),0))</f>
        <v>TRANSPORTE DE ENTULHO COM CAMINHÃO BASCULANTE</v>
      </c>
      <c r="D22" s="129" t="str">
        <f ca="1">IF(OFFSET(PO!O$12,ROW(D22)-ROW(D$12),0)=0,"",OFFSET(PO!O$12,ROW(D22)-ROW(D$12),0))</f>
        <v>M3</v>
      </c>
      <c r="E22" s="165">
        <f ca="1">IF($A22&lt;&gt;"Serviço",0,ROUND(SUMIF($F$9:$P$9,"&lt;&gt;",$F22:$P22),15-13*PO!$X$3))</f>
        <v>13.01</v>
      </c>
      <c r="F22" s="215">
        <f ca="1">OFFSET(PO!$P$12,ROW($E22)-ROW(F$12),0)</f>
        <v>13.01</v>
      </c>
      <c r="G22" s="215"/>
      <c r="H22" s="215"/>
      <c r="I22" s="215"/>
      <c r="J22" s="215"/>
      <c r="K22" s="215"/>
      <c r="L22" s="215"/>
      <c r="M22" s="215"/>
      <c r="N22" s="215"/>
      <c r="O22" s="215"/>
      <c r="U22" s="215"/>
    </row>
    <row r="23" spans="1:21" s="4" customFormat="1" x14ac:dyDescent="0.2">
      <c r="A23" s="128" t="str">
        <f ca="1">OFFSET(PO!J$12,ROW(A23)-ROW($A$12),0)</f>
        <v>Serviço</v>
      </c>
      <c r="B23" s="130" t="str">
        <f ca="1">IF($A23=0,"",OFFSET(PO!K$12,ROW(B23)-ROW(B$12),0))</f>
        <v>1.0.10.</v>
      </c>
      <c r="C23" s="127" t="str">
        <f ca="1">IF(OFFSET(PO!N$12,ROW(C23)-ROW(C$12),0)=0,"",OFFSET(PO!N$12,ROW(C23)-ROW(C$12),0))</f>
        <v>REMOÇÃO DE JANELAS, DE FORMA MANUAL</v>
      </c>
      <c r="D23" s="129" t="str">
        <f ca="1">IF(OFFSET(PO!O$12,ROW(D23)-ROW(D$12),0)=0,"",OFFSET(PO!O$12,ROW(D23)-ROW(D$12),0))</f>
        <v>M2</v>
      </c>
      <c r="E23" s="165">
        <f ca="1">IF($A23&lt;&gt;"Serviço",0,ROUND(SUMIF($F$9:$P$9,"&lt;&gt;",$F23:$P23),15-13*PO!$X$3))</f>
        <v>14.64</v>
      </c>
      <c r="F23" s="215">
        <f ca="1">OFFSET(PO!$P$12,ROW($E23)-ROW(F$12),0)</f>
        <v>14.64</v>
      </c>
      <c r="G23" s="215"/>
      <c r="H23" s="215"/>
      <c r="I23" s="215"/>
      <c r="J23" s="215"/>
      <c r="K23" s="215"/>
      <c r="L23" s="215"/>
      <c r="M23" s="215"/>
      <c r="N23" s="215"/>
      <c r="O23" s="215"/>
      <c r="U23" s="215"/>
    </row>
    <row r="24" spans="1:21" s="4" customFormat="1" x14ac:dyDescent="0.2">
      <c r="A24" s="128" t="str">
        <f ca="1">OFFSET(PO!J$12,ROW(A24)-ROW($A$12),0)</f>
        <v>Serviço</v>
      </c>
      <c r="B24" s="130" t="str">
        <f ca="1">IF($A24=0,"",OFFSET(PO!K$12,ROW(B24)-ROW(B$12),0))</f>
        <v>1.0.11.</v>
      </c>
      <c r="C24" s="127" t="str">
        <f ca="1">IF(OFFSET(PO!N$12,ROW(C24)-ROW(C$12),0)=0,"",OFFSET(PO!N$12,ROW(C24)-ROW(C$12),0))</f>
        <v>REMOÇÃO DE PORTAS, DE FORMA MANUAL</v>
      </c>
      <c r="D24" s="129" t="str">
        <f ca="1">IF(OFFSET(PO!O$12,ROW(D24)-ROW(D$12),0)=0,"",OFFSET(PO!O$12,ROW(D24)-ROW(D$12),0))</f>
        <v>M2</v>
      </c>
      <c r="E24" s="165">
        <f ca="1">IF($A24&lt;&gt;"Serviço",0,ROUND(SUMIF($F$9:$P$9,"&lt;&gt;",$F24:$P24),15-13*PO!$X$3))</f>
        <v>33</v>
      </c>
      <c r="F24" s="215">
        <f ca="1">OFFSET(PO!$P$12,ROW($E24)-ROW(F$12),0)</f>
        <v>33</v>
      </c>
      <c r="G24" s="215"/>
      <c r="H24" s="215"/>
      <c r="I24" s="215"/>
      <c r="J24" s="215"/>
      <c r="K24" s="215"/>
      <c r="L24" s="215"/>
      <c r="M24" s="215"/>
      <c r="N24" s="215"/>
      <c r="O24" s="215"/>
      <c r="U24" s="215"/>
    </row>
    <row r="25" spans="1:21" s="4" customFormat="1" x14ac:dyDescent="0.2">
      <c r="A25" s="128" t="str">
        <f ca="1">OFFSET(PO!J$12,ROW(A25)-ROW($A$12),0)</f>
        <v>Meta</v>
      </c>
      <c r="B25" s="130" t="str">
        <f ca="1">IF($A25=0,"",OFFSET(PO!K$12,ROW(B25)-ROW(B$12),0))</f>
        <v>2.</v>
      </c>
      <c r="C25" s="127" t="str">
        <f ca="1">IF(OFFSET(PO!N$12,ROW(C25)-ROW(C$12),0)=0,"",OFFSET(PO!N$12,ROW(C25)-ROW(C$12),0))</f>
        <v>REVESTIMENTOS EXTERNOS</v>
      </c>
      <c r="D25" s="129" t="str">
        <f ca="1">IF(OFFSET(PO!O$12,ROW(D25)-ROW(D$12),0)=0,"",OFFSET(PO!O$12,ROW(D25)-ROW(D$12),0))</f>
        <v/>
      </c>
      <c r="E25" s="165">
        <f ca="1">IF($A25&lt;&gt;"Serviço",0,ROUND(SUMIF($F$9:$P$9,"&lt;&gt;",$F25:$P25),15-13*PO!$X$3))</f>
        <v>0</v>
      </c>
      <c r="F25" s="215">
        <f ca="1">OFFSET(PO!$P$12,ROW($E25)-ROW(F$12),0)</f>
        <v>0</v>
      </c>
      <c r="G25" s="215"/>
      <c r="H25" s="215"/>
      <c r="I25" s="215"/>
      <c r="J25" s="215"/>
      <c r="K25" s="215"/>
      <c r="L25" s="215"/>
      <c r="M25" s="215"/>
      <c r="N25" s="215"/>
      <c r="O25" s="215"/>
      <c r="U25" s="215"/>
    </row>
    <row r="26" spans="1:21" s="4" customFormat="1" ht="51" x14ac:dyDescent="0.2">
      <c r="A26" s="128" t="str">
        <f ca="1">OFFSET(PO!J$12,ROW(A26)-ROW($A$12),0)</f>
        <v>Serviço</v>
      </c>
      <c r="B26" s="130" t="str">
        <f ca="1">IF($A26=0,"",OFFSET(PO!K$12,ROW(B26)-ROW(B$12),0))</f>
        <v>2.0.1.</v>
      </c>
      <c r="C26" s="127" t="str">
        <f ca="1">IF(OFFSET(PO!N$12,ROW(C26)-ROW(C$12),0)=0,"",OFFSET(PO!N$12,ROW(C26)-ROW(C$12),0))</f>
        <v>CHAPISCO APLICADO EM ALVENARIA (COM PRESENÇA DE VÃOS) E ESTRUTURAS DE CONCRETO DE FACHADA, COM EQUIPAMENTO DE PROJEÇÃO.  ARGAMASSA TRAÇO 1:3 COM PREPARO EM BETONEIRA 400 L. AF_06/2014</v>
      </c>
      <c r="D26" s="129" t="str">
        <f ca="1">IF(OFFSET(PO!O$12,ROW(D26)-ROW(D$12),0)=0,"",OFFSET(PO!O$12,ROW(D26)-ROW(D$12),0))</f>
        <v>M2</v>
      </c>
      <c r="E26" s="165">
        <f ca="1">IF($A26&lt;&gt;"Serviço",0,ROUND(SUMIF($F$9:$P$9,"&lt;&gt;",$F26:$P26),15-13*PO!$X$3))</f>
        <v>1856.42</v>
      </c>
      <c r="F26" s="215">
        <f ca="1">OFFSET(PO!$P$12,ROW($E26)-ROW(F$12),0)</f>
        <v>1856.42</v>
      </c>
      <c r="G26" s="215"/>
      <c r="H26" s="215"/>
      <c r="I26" s="215"/>
      <c r="J26" s="215"/>
      <c r="K26" s="215"/>
      <c r="L26" s="215"/>
      <c r="M26" s="215"/>
      <c r="N26" s="215"/>
      <c r="O26" s="215"/>
      <c r="U26" s="215"/>
    </row>
    <row r="27" spans="1:21" s="4" customFormat="1" ht="51" x14ac:dyDescent="0.2">
      <c r="A27" s="128" t="str">
        <f ca="1">OFFSET(PO!J$12,ROW(A27)-ROW($A$12),0)</f>
        <v>Serviço</v>
      </c>
      <c r="B27" s="130" t="str">
        <f ca="1">IF($A27=0,"",OFFSET(PO!K$12,ROW(B27)-ROW(B$12),0))</f>
        <v>2.0.2.</v>
      </c>
      <c r="C27" s="127" t="str">
        <f ca="1">IF(OFFSET(PO!N$12,ROW(C27)-ROW(C$12),0)=0,"",OFFSET(PO!N$12,ROW(C27)-ROW(C$12),0))</f>
        <v>EMBOÇO OU MASSA ÚNICA EM ARGAMASSA TRAÇO 1:2:8, PREPARO MECÂNICO COM BETONEIRA 400 L, APLICADA MANUALMENTE EM PANOS DE FACHADA COM PRESENÇA DE VÃOS, ESPESSURA DE 25 MM.</v>
      </c>
      <c r="D27" s="129" t="str">
        <f ca="1">IF(OFFSET(PO!O$12,ROW(D27)-ROW(D$12),0)=0,"",OFFSET(PO!O$12,ROW(D27)-ROW(D$12),0))</f>
        <v>M2</v>
      </c>
      <c r="E27" s="165">
        <f ca="1">IF($A27&lt;&gt;"Serviço",0,ROUND(SUMIF($F$9:$P$9,"&lt;&gt;",$F27:$P27),15-13*PO!$X$3))</f>
        <v>539.82000000000005</v>
      </c>
      <c r="F27" s="215">
        <f ca="1">OFFSET(PO!$P$12,ROW($E27)-ROW(F$12),0)</f>
        <v>539.82000000000005</v>
      </c>
      <c r="G27" s="215"/>
      <c r="H27" s="215"/>
      <c r="I27" s="215"/>
      <c r="J27" s="215"/>
      <c r="K27" s="215"/>
      <c r="L27" s="215"/>
      <c r="M27" s="215"/>
      <c r="N27" s="215"/>
      <c r="O27" s="215"/>
      <c r="U27" s="215"/>
    </row>
    <row r="28" spans="1:21" s="4" customFormat="1" ht="25.5" x14ac:dyDescent="0.2">
      <c r="A28" s="128" t="str">
        <f ca="1">OFFSET(PO!J$12,ROW(A28)-ROW($A$12),0)</f>
        <v>Serviço</v>
      </c>
      <c r="B28" s="130" t="str">
        <f ca="1">IF($A28=0,"",OFFSET(PO!K$12,ROW(B28)-ROW(B$12),0))</f>
        <v>2.0.3.</v>
      </c>
      <c r="C28" s="127" t="str">
        <f ca="1">IF(OFFSET(PO!N$12,ROW(C28)-ROW(C$12),0)=0,"",OFFSET(PO!N$12,ROW(C28)-ROW(C$12),0))</f>
        <v>TEXTURA ACRÍLICA, APLICAÇÃO MANUAL EM PAREDE, UMA DEMÃO.</v>
      </c>
      <c r="D28" s="129" t="str">
        <f ca="1">IF(OFFSET(PO!O$12,ROW(D28)-ROW(D$12),0)=0,"",OFFSET(PO!O$12,ROW(D28)-ROW(D$12),0))</f>
        <v>M2</v>
      </c>
      <c r="E28" s="165">
        <f ca="1">IF($A28&lt;&gt;"Serviço",0,ROUND(SUMIF($F$9:$P$9,"&lt;&gt;",$F28:$P28),15-13*PO!$X$3))</f>
        <v>539.82000000000005</v>
      </c>
      <c r="F28" s="215">
        <f ca="1">OFFSET(PO!$P$12,ROW($E28)-ROW(F$12),0)</f>
        <v>539.82000000000005</v>
      </c>
      <c r="G28" s="215"/>
      <c r="H28" s="215"/>
      <c r="I28" s="215"/>
      <c r="J28" s="215"/>
      <c r="K28" s="215"/>
      <c r="L28" s="215"/>
      <c r="M28" s="215"/>
      <c r="N28" s="215"/>
      <c r="O28" s="215"/>
      <c r="U28" s="215"/>
    </row>
    <row r="29" spans="1:21" s="4" customFormat="1" ht="25.5" x14ac:dyDescent="0.2">
      <c r="A29" s="128" t="str">
        <f ca="1">OFFSET(PO!J$12,ROW(A29)-ROW($A$12),0)</f>
        <v>Serviço</v>
      </c>
      <c r="B29" s="130" t="str">
        <f ca="1">IF($A29=0,"",OFFSET(PO!K$12,ROW(B29)-ROW(B$12),0))</f>
        <v>2.0.4.</v>
      </c>
      <c r="C29" s="127" t="str">
        <f ca="1">IF(OFFSET(PO!N$12,ROW(C29)-ROW(C$12),0)=0,"",OFFSET(PO!N$12,ROW(C29)-ROW(C$12),0))</f>
        <v>APLICAÇÃO MANUAL DE PINTURA COM TINTA LÁTEX ACRÍLICA EM PAREDES, DUAS DEMÃOS. AF_06/2014</v>
      </c>
      <c r="D29" s="129" t="str">
        <f ca="1">IF(OFFSET(PO!O$12,ROW(D29)-ROW(D$12),0)=0,"",OFFSET(PO!O$12,ROW(D29)-ROW(D$12),0))</f>
        <v>M2</v>
      </c>
      <c r="E29" s="165">
        <f ca="1">IF($A29&lt;&gt;"Serviço",0,ROUND(SUMIF($F$9:$P$9,"&lt;&gt;",$F29:$P29),15-13*PO!$X$3))</f>
        <v>539.82000000000005</v>
      </c>
      <c r="F29" s="215">
        <f ca="1">OFFSET(PO!$P$12,ROW($E29)-ROW(F$12),0)</f>
        <v>539.82000000000005</v>
      </c>
      <c r="G29" s="215"/>
      <c r="H29" s="215"/>
      <c r="I29" s="215"/>
      <c r="J29" s="215"/>
      <c r="K29" s="215"/>
      <c r="L29" s="215"/>
      <c r="M29" s="215"/>
      <c r="N29" s="215"/>
      <c r="O29" s="215"/>
      <c r="U29" s="215"/>
    </row>
    <row r="30" spans="1:21" s="4" customFormat="1" x14ac:dyDescent="0.2">
      <c r="A30" s="128" t="str">
        <f ca="1">OFFSET(PO!J$12,ROW(A30)-ROW($A$12),0)</f>
        <v>Meta</v>
      </c>
      <c r="B30" s="130" t="str">
        <f ca="1">IF($A30=0,"",OFFSET(PO!K$12,ROW(B30)-ROW(B$12),0))</f>
        <v>3.</v>
      </c>
      <c r="C30" s="127" t="str">
        <f ca="1">IF(OFFSET(PO!N$12,ROW(C30)-ROW(C$12),0)=0,"",OFFSET(PO!N$12,ROW(C30)-ROW(C$12),0))</f>
        <v>PAVIMENTO TÉRREO</v>
      </c>
      <c r="D30" s="129" t="str">
        <f ca="1">IF(OFFSET(PO!O$12,ROW(D30)-ROW(D$12),0)=0,"",OFFSET(PO!O$12,ROW(D30)-ROW(D$12),0))</f>
        <v/>
      </c>
      <c r="E30" s="165">
        <f ca="1">IF($A30&lt;&gt;"Serviço",0,ROUND(SUMIF($F$9:$P$9,"&lt;&gt;",$F30:$P30),15-13*PO!$X$3))</f>
        <v>0</v>
      </c>
      <c r="F30" s="215">
        <f ca="1">OFFSET(PO!$P$12,ROW($E30)-ROW(F$12),0)</f>
        <v>0</v>
      </c>
      <c r="G30" s="215"/>
      <c r="H30" s="215"/>
      <c r="I30" s="215"/>
      <c r="J30" s="215"/>
      <c r="K30" s="215"/>
      <c r="L30" s="215"/>
      <c r="M30" s="215"/>
      <c r="N30" s="215"/>
      <c r="O30" s="215"/>
      <c r="U30" s="215"/>
    </row>
    <row r="31" spans="1:21" s="4" customFormat="1" x14ac:dyDescent="0.2">
      <c r="A31" s="128" t="str">
        <f ca="1">OFFSET(PO!J$12,ROW(A31)-ROW($A$12),0)</f>
        <v>Nível 2</v>
      </c>
      <c r="B31" s="130" t="str">
        <f ca="1">IF($A31=0,"",OFFSET(PO!K$12,ROW(B31)-ROW(B$12),0))</f>
        <v>3.1.</v>
      </c>
      <c r="C31" s="127" t="str">
        <f ca="1">IF(OFFSET(PO!N$12,ROW(C31)-ROW(C$12),0)=0,"",OFFSET(PO!N$12,ROW(C31)-ROW(C$12),0))</f>
        <v>PAVIMENTAÇÃO</v>
      </c>
      <c r="D31" s="129" t="str">
        <f ca="1">IF(OFFSET(PO!O$12,ROW(D31)-ROW(D$12),0)=0,"",OFFSET(PO!O$12,ROW(D31)-ROW(D$12),0))</f>
        <v/>
      </c>
      <c r="E31" s="165">
        <f ca="1">IF($A31&lt;&gt;"Serviço",0,ROUND(SUMIF($F$9:$P$9,"&lt;&gt;",$F31:$P31),15-13*PO!$X$3))</f>
        <v>0</v>
      </c>
      <c r="F31" s="215">
        <f ca="1">OFFSET(PO!$P$12,ROW($E31)-ROW(F$12),0)</f>
        <v>0</v>
      </c>
      <c r="G31" s="215"/>
      <c r="H31" s="215"/>
      <c r="I31" s="215"/>
      <c r="J31" s="215"/>
      <c r="K31" s="215"/>
      <c r="L31" s="215"/>
      <c r="M31" s="215"/>
      <c r="N31" s="215"/>
      <c r="O31" s="215"/>
      <c r="U31" s="215"/>
    </row>
    <row r="32" spans="1:21" s="4" customFormat="1" ht="25.5" x14ac:dyDescent="0.2">
      <c r="A32" s="128" t="str">
        <f ca="1">OFFSET(PO!J$12,ROW(A32)-ROW($A$12),0)</f>
        <v>Serviço</v>
      </c>
      <c r="B32" s="130" t="str">
        <f ca="1">IF($A32=0,"",OFFSET(PO!K$12,ROW(B32)-ROW(B$12),0))</f>
        <v>3.1.1.</v>
      </c>
      <c r="C32" s="127" t="str">
        <f ca="1">IF(OFFSET(PO!N$12,ROW(C32)-ROW(C$12),0)=0,"",OFFSET(PO!N$12,ROW(C32)-ROW(C$12),0))</f>
        <v>ESCAVAÇÃO MANUAL DE MATERIAL PARA NIVELAMENTO DO CONTRAPISO</v>
      </c>
      <c r="D32" s="129" t="str">
        <f ca="1">IF(OFFSET(PO!O$12,ROW(D32)-ROW(D$12),0)=0,"",OFFSET(PO!O$12,ROW(D32)-ROW(D$12),0))</f>
        <v>M3</v>
      </c>
      <c r="E32" s="165">
        <f ca="1">IF($A32&lt;&gt;"Serviço",0,ROUND(SUMIF($F$9:$P$9,"&lt;&gt;",$F32:$P32),15-13*PO!$X$3))</f>
        <v>23.62</v>
      </c>
      <c r="F32" s="215">
        <f ca="1">OFFSET(PO!$P$12,ROW($E32)-ROW(F$12),0)</f>
        <v>23.62</v>
      </c>
      <c r="G32" s="215"/>
      <c r="H32" s="215"/>
      <c r="I32" s="215"/>
      <c r="J32" s="215"/>
      <c r="K32" s="215"/>
      <c r="L32" s="215"/>
      <c r="M32" s="215"/>
      <c r="N32" s="215"/>
      <c r="O32" s="215"/>
      <c r="U32" s="215"/>
    </row>
    <row r="33" spans="1:21" s="4" customFormat="1" ht="25.5" x14ac:dyDescent="0.2">
      <c r="A33" s="128" t="str">
        <f ca="1">OFFSET(PO!J$12,ROW(A33)-ROW($A$12),0)</f>
        <v>Serviço</v>
      </c>
      <c r="B33" s="130" t="str">
        <f ca="1">IF($A33=0,"",OFFSET(PO!K$12,ROW(B33)-ROW(B$12),0))</f>
        <v>3.1.2.</v>
      </c>
      <c r="C33" s="127" t="str">
        <f ca="1">IF(OFFSET(PO!N$12,ROW(C33)-ROW(C$12),0)=0,"",OFFSET(PO!N$12,ROW(C33)-ROW(C$12),0))</f>
        <v>LASTRO DE BRITA, APLICAÇÃO EM PISOS, ESPESSURA DE 5 CM</v>
      </c>
      <c r="D33" s="129" t="str">
        <f ca="1">IF(OFFSET(PO!O$12,ROW(D33)-ROW(D$12),0)=0,"",OFFSET(PO!O$12,ROW(D33)-ROW(D$12),0))</f>
        <v>M3</v>
      </c>
      <c r="E33" s="165">
        <f ca="1">IF($A33&lt;&gt;"Serviço",0,ROUND(SUMIF($F$9:$P$9,"&lt;&gt;",$F33:$P33),15-13*PO!$X$3))</f>
        <v>11.81</v>
      </c>
      <c r="F33" s="215">
        <f ca="1">OFFSET(PO!$P$12,ROW($E33)-ROW(F$12),0)</f>
        <v>11.81</v>
      </c>
      <c r="G33" s="215"/>
      <c r="H33" s="215"/>
      <c r="I33" s="215"/>
      <c r="J33" s="215"/>
      <c r="K33" s="215"/>
      <c r="L33" s="215"/>
      <c r="M33" s="215"/>
      <c r="N33" s="215"/>
      <c r="O33" s="215"/>
      <c r="U33" s="215"/>
    </row>
    <row r="34" spans="1:21" s="4" customFormat="1" x14ac:dyDescent="0.2">
      <c r="A34" s="128" t="str">
        <f ca="1">OFFSET(PO!J$12,ROW(A34)-ROW($A$12),0)</f>
        <v>Serviço</v>
      </c>
      <c r="B34" s="130" t="str">
        <f ca="1">IF($A34=0,"",OFFSET(PO!K$12,ROW(B34)-ROW(B$12),0))</f>
        <v>3.1.3.</v>
      </c>
      <c r="C34" s="127" t="str">
        <f ca="1">IF(OFFSET(PO!N$12,ROW(C34)-ROW(C$12),0)=0,"",OFFSET(PO!N$12,ROW(C34)-ROW(C$12),0))</f>
        <v>LONA PLASTICA PRETA, E= 150 MICRA</v>
      </c>
      <c r="D34" s="129" t="str">
        <f ca="1">IF(OFFSET(PO!O$12,ROW(D34)-ROW(D$12),0)=0,"",OFFSET(PO!O$12,ROW(D34)-ROW(D$12),0))</f>
        <v xml:space="preserve">M2    </v>
      </c>
      <c r="E34" s="165">
        <f ca="1">IF($A34&lt;&gt;"Serviço",0,ROUND(SUMIF($F$9:$P$9,"&lt;&gt;",$F34:$P34),15-13*PO!$X$3))</f>
        <v>236.24</v>
      </c>
      <c r="F34" s="215">
        <f ca="1">OFFSET(PO!$P$12,ROW($E34)-ROW(F$12),0)</f>
        <v>236.24</v>
      </c>
      <c r="G34" s="215"/>
      <c r="H34" s="215"/>
      <c r="I34" s="215"/>
      <c r="J34" s="215"/>
      <c r="K34" s="215"/>
      <c r="L34" s="215"/>
      <c r="M34" s="215"/>
      <c r="N34" s="215"/>
      <c r="O34" s="215"/>
      <c r="U34" s="215"/>
    </row>
    <row r="35" spans="1:21" s="4" customFormat="1" ht="38.25" x14ac:dyDescent="0.2">
      <c r="A35" s="128" t="str">
        <f ca="1">OFFSET(PO!J$12,ROW(A35)-ROW($A$12),0)</f>
        <v>Serviço</v>
      </c>
      <c r="B35" s="130" t="str">
        <f ca="1">IF($A35=0,"",OFFSET(PO!K$12,ROW(B35)-ROW(B$12),0))</f>
        <v>3.1.4.</v>
      </c>
      <c r="C35" s="127" t="str">
        <f ca="1">IF(OFFSET(PO!N$12,ROW(C35)-ROW(C$12),0)=0,"",OFFSET(PO!N$12,ROW(C35)-ROW(C$12),0))</f>
        <v>TELA DE ACO SOLDADA NERVURADA, CA-60, Q-283 (4,48 KG/M2), DIAMETRO DO FIO = 6,0 MM, ESPACAMENTO DA MALHA = 10 X 10 CM</v>
      </c>
      <c r="D35" s="129" t="str">
        <f ca="1">IF(OFFSET(PO!O$12,ROW(D35)-ROW(D$12),0)=0,"",OFFSET(PO!O$12,ROW(D35)-ROW(D$12),0))</f>
        <v xml:space="preserve">M2    </v>
      </c>
      <c r="E35" s="165">
        <f ca="1">IF($A35&lt;&gt;"Serviço",0,ROUND(SUMIF($F$9:$P$9,"&lt;&gt;",$F35:$P35),15-13*PO!$X$3))</f>
        <v>236.24</v>
      </c>
      <c r="F35" s="215">
        <f ca="1">OFFSET(PO!$P$12,ROW($E35)-ROW(F$12),0)</f>
        <v>236.24</v>
      </c>
      <c r="G35" s="215"/>
      <c r="H35" s="215"/>
      <c r="I35" s="215"/>
      <c r="J35" s="215"/>
      <c r="K35" s="215"/>
      <c r="L35" s="215"/>
      <c r="M35" s="215"/>
      <c r="N35" s="215"/>
      <c r="O35" s="215"/>
      <c r="U35" s="215"/>
    </row>
    <row r="36" spans="1:21" s="4" customFormat="1" ht="25.5" x14ac:dyDescent="0.2">
      <c r="A36" s="128" t="str">
        <f ca="1">OFFSET(PO!J$12,ROW(A36)-ROW($A$12),0)</f>
        <v>Serviço</v>
      </c>
      <c r="B36" s="130" t="str">
        <f ca="1">IF($A36=0,"",OFFSET(PO!K$12,ROW(B36)-ROW(B$12),0))</f>
        <v>3.1.5.</v>
      </c>
      <c r="C36" s="127" t="str">
        <f ca="1">IF(OFFSET(PO!N$12,ROW(C36)-ROW(C$12),0)=0,"",OFFSET(PO!N$12,ROW(C36)-ROW(C$12),0))</f>
        <v>LASTRO DE CONCRETO MAGRO, APLICADO EM PISOS, ESPESSURA DE 5 CM.</v>
      </c>
      <c r="D36" s="129" t="str">
        <f ca="1">IF(OFFSET(PO!O$12,ROW(D36)-ROW(D$12),0)=0,"",OFFSET(PO!O$12,ROW(D36)-ROW(D$12),0))</f>
        <v>M2</v>
      </c>
      <c r="E36" s="165">
        <f ca="1">IF($A36&lt;&gt;"Serviço",0,ROUND(SUMIF($F$9:$P$9,"&lt;&gt;",$F36:$P36),15-13*PO!$X$3))</f>
        <v>236.24</v>
      </c>
      <c r="F36" s="215">
        <f ca="1">OFFSET(PO!$P$12,ROW($E36)-ROW(F$12),0)</f>
        <v>236.24</v>
      </c>
      <c r="G36" s="215"/>
      <c r="H36" s="215"/>
      <c r="I36" s="215"/>
      <c r="J36" s="215"/>
      <c r="K36" s="215"/>
      <c r="L36" s="215"/>
      <c r="M36" s="215"/>
      <c r="N36" s="215"/>
      <c r="O36" s="215"/>
      <c r="U36" s="215"/>
    </row>
    <row r="37" spans="1:21" s="4" customFormat="1" ht="25.5" x14ac:dyDescent="0.2">
      <c r="A37" s="128" t="str">
        <f ca="1">OFFSET(PO!J$12,ROW(A37)-ROW($A$12),0)</f>
        <v>Serviço</v>
      </c>
      <c r="B37" s="130" t="str">
        <f ca="1">IF($A37=0,"",OFFSET(PO!K$12,ROW(B37)-ROW(B$12),0))</f>
        <v>3.1.6.</v>
      </c>
      <c r="C37" s="127" t="str">
        <f ca="1">IF(OFFSET(PO!N$12,ROW(C37)-ROW(C$12),0)=0,"",OFFSET(PO!N$12,ROW(C37)-ROW(C$12),0))</f>
        <v>CONTRAPISO AUTONIVELANTE, APLICADO SOBRE LAJE, NÃO ADERIDO, ESPESSURA 4CM. AF_06/2014</v>
      </c>
      <c r="D37" s="129" t="str">
        <f ca="1">IF(OFFSET(PO!O$12,ROW(D37)-ROW(D$12),0)=0,"",OFFSET(PO!O$12,ROW(D37)-ROW(D$12),0))</f>
        <v>M2</v>
      </c>
      <c r="E37" s="165">
        <f ca="1">IF($A37&lt;&gt;"Serviço",0,ROUND(SUMIF($F$9:$P$9,"&lt;&gt;",$F37:$P37),15-13*PO!$X$3))</f>
        <v>236.24</v>
      </c>
      <c r="F37" s="215">
        <f ca="1">OFFSET(PO!$P$12,ROW($E37)-ROW(F$12),0)</f>
        <v>236.24</v>
      </c>
      <c r="G37" s="215"/>
      <c r="H37" s="215"/>
      <c r="I37" s="215"/>
      <c r="J37" s="215"/>
      <c r="K37" s="215"/>
      <c r="L37" s="215"/>
      <c r="M37" s="215"/>
      <c r="N37" s="215"/>
      <c r="O37" s="215"/>
      <c r="U37" s="215"/>
    </row>
    <row r="38" spans="1:21" s="4" customFormat="1" ht="25.5" x14ac:dyDescent="0.2">
      <c r="A38" s="128" t="str">
        <f ca="1">OFFSET(PO!J$12,ROW(A38)-ROW($A$12),0)</f>
        <v>Serviço</v>
      </c>
      <c r="B38" s="130" t="str">
        <f ca="1">IF($A38=0,"",OFFSET(PO!K$12,ROW(B38)-ROW(B$12),0))</f>
        <v>3.1.7.</v>
      </c>
      <c r="C38" s="127" t="str">
        <f ca="1">IF(OFFSET(PO!N$12,ROW(C38)-ROW(C$12),0)=0,"",OFFSET(PO!N$12,ROW(C38)-ROW(C$12),0))</f>
        <v>REVESTIMENTO CERÂMICO PARA PISO COM PLACAS TIPO PORCELANATO DE DIMENSÕES 45X45 CM</v>
      </c>
      <c r="D38" s="129" t="str">
        <f ca="1">IF(OFFSET(PO!O$12,ROW(D38)-ROW(D$12),0)=0,"",OFFSET(PO!O$12,ROW(D38)-ROW(D$12),0))</f>
        <v>M2</v>
      </c>
      <c r="E38" s="165">
        <f ca="1">IF($A38&lt;&gt;"Serviço",0,ROUND(SUMIF($F$9:$P$9,"&lt;&gt;",$F38:$P38),15-13*PO!$X$3))</f>
        <v>255.89</v>
      </c>
      <c r="F38" s="215">
        <f ca="1">OFFSET(PO!$P$12,ROW($E38)-ROW(F$12),0)</f>
        <v>255.89</v>
      </c>
      <c r="G38" s="215"/>
      <c r="H38" s="215"/>
      <c r="I38" s="215"/>
      <c r="J38" s="215"/>
      <c r="K38" s="215"/>
      <c r="L38" s="215"/>
      <c r="M38" s="215"/>
      <c r="N38" s="215"/>
      <c r="O38" s="215"/>
      <c r="U38" s="215"/>
    </row>
    <row r="39" spans="1:21" s="4" customFormat="1" ht="25.5" x14ac:dyDescent="0.2">
      <c r="A39" s="128" t="str">
        <f ca="1">OFFSET(PO!J$12,ROW(A39)-ROW($A$12),0)</f>
        <v>Serviço</v>
      </c>
      <c r="B39" s="130" t="str">
        <f ca="1">IF($A39=0,"",OFFSET(PO!K$12,ROW(B39)-ROW(B$12),0))</f>
        <v>3.1.8.</v>
      </c>
      <c r="C39" s="127" t="str">
        <f ca="1">IF(OFFSET(PO!N$12,ROW(C39)-ROW(C$12),0)=0,"",OFFSET(PO!N$12,ROW(C39)-ROW(C$12),0))</f>
        <v>EXECUÇÃO DE RAMPA EM CONCRETO ARMADO, MOLDADA IN LOCO, FCK = 25 MPA</v>
      </c>
      <c r="D39" s="129" t="str">
        <f ca="1">IF(OFFSET(PO!O$12,ROW(D39)-ROW(D$12),0)=0,"",OFFSET(PO!O$12,ROW(D39)-ROW(D$12),0))</f>
        <v>M3</v>
      </c>
      <c r="E39" s="165">
        <f ca="1">IF($A39&lt;&gt;"Serviço",0,ROUND(SUMIF($F$9:$P$9,"&lt;&gt;",$F39:$P39),15-13*PO!$X$3))</f>
        <v>4.18</v>
      </c>
      <c r="F39" s="215">
        <f ca="1">OFFSET(PO!$P$12,ROW($E39)-ROW(F$12),0)</f>
        <v>4.18</v>
      </c>
      <c r="G39" s="215"/>
      <c r="H39" s="215"/>
      <c r="I39" s="215"/>
      <c r="J39" s="215"/>
      <c r="K39" s="215"/>
      <c r="L39" s="215"/>
      <c r="M39" s="215"/>
      <c r="N39" s="215"/>
      <c r="O39" s="215"/>
      <c r="U39" s="215"/>
    </row>
    <row r="40" spans="1:21" s="4" customFormat="1" x14ac:dyDescent="0.2">
      <c r="A40" s="128" t="str">
        <f ca="1">OFFSET(PO!J$12,ROW(A40)-ROW($A$12),0)</f>
        <v>Nível 2</v>
      </c>
      <c r="B40" s="130" t="str">
        <f ca="1">IF($A40=0,"",OFFSET(PO!K$12,ROW(B40)-ROW(B$12),0))</f>
        <v>3.2.</v>
      </c>
      <c r="C40" s="127" t="str">
        <f ca="1">IF(OFFSET(PO!N$12,ROW(C40)-ROW(C$12),0)=0,"",OFFSET(PO!N$12,ROW(C40)-ROW(C$12),0))</f>
        <v>REVESTIMENTOS INTERNOS</v>
      </c>
      <c r="D40" s="129" t="str">
        <f ca="1">IF(OFFSET(PO!O$12,ROW(D40)-ROW(D$12),0)=0,"",OFFSET(PO!O$12,ROW(D40)-ROW(D$12),0))</f>
        <v/>
      </c>
      <c r="E40" s="165">
        <f ca="1">IF($A40&lt;&gt;"Serviço",0,ROUND(SUMIF($F$9:$P$9,"&lt;&gt;",$F40:$P40),15-13*PO!$X$3))</f>
        <v>0</v>
      </c>
      <c r="F40" s="215">
        <f ca="1">OFFSET(PO!$P$12,ROW($E40)-ROW(F$12),0)</f>
        <v>0</v>
      </c>
      <c r="G40" s="215"/>
      <c r="H40" s="215"/>
      <c r="I40" s="215"/>
      <c r="J40" s="215"/>
      <c r="K40" s="215"/>
      <c r="L40" s="215"/>
      <c r="M40" s="215"/>
      <c r="N40" s="215"/>
      <c r="O40" s="215"/>
      <c r="U40" s="215"/>
    </row>
    <row r="41" spans="1:21" s="4" customFormat="1" ht="25.5" x14ac:dyDescent="0.2">
      <c r="A41" s="128" t="str">
        <f ca="1">OFFSET(PO!J$12,ROW(A41)-ROW($A$12),0)</f>
        <v>Serviço</v>
      </c>
      <c r="B41" s="130" t="str">
        <f ca="1">IF($A41=0,"",OFFSET(PO!K$12,ROW(B41)-ROW(B$12),0))</f>
        <v>3.2.1.</v>
      </c>
      <c r="C41" s="127" t="str">
        <f ca="1">IF(OFFSET(PO!N$12,ROW(C41)-ROW(C$12),0)=0,"",OFFSET(PO!N$12,ROW(C41)-ROW(C$12),0))</f>
        <v>CHAPISCO APLICADO EM ALVENARIAS E ESTRUTURAS DE CONCRETO INTERNAS, ARGAMASSA TRAÇO 1:3</v>
      </c>
      <c r="D41" s="129" t="str">
        <f ca="1">IF(OFFSET(PO!O$12,ROW(D41)-ROW(D$12),0)=0,"",OFFSET(PO!O$12,ROW(D41)-ROW(D$12),0))</f>
        <v>M2</v>
      </c>
      <c r="E41" s="165">
        <f ca="1">IF($A41&lt;&gt;"Serviço",0,ROUND(SUMIF($F$9:$P$9,"&lt;&gt;",$F41:$P41),15-13*PO!$X$3))</f>
        <v>428.54</v>
      </c>
      <c r="F41" s="215">
        <f ca="1">OFFSET(PO!$P$12,ROW($E41)-ROW(F$12),0)</f>
        <v>428.54</v>
      </c>
      <c r="G41" s="215"/>
      <c r="H41" s="215"/>
      <c r="I41" s="215"/>
      <c r="J41" s="215"/>
      <c r="K41" s="215"/>
      <c r="L41" s="215"/>
      <c r="M41" s="215"/>
      <c r="N41" s="215"/>
      <c r="O41" s="215"/>
      <c r="U41" s="215"/>
    </row>
    <row r="42" spans="1:21" s="4" customFormat="1" ht="63.75" x14ac:dyDescent="0.2">
      <c r="A42" s="128" t="str">
        <f ca="1">OFFSET(PO!J$12,ROW(A42)-ROW($A$12),0)</f>
        <v>Serviço</v>
      </c>
      <c r="B42" s="130" t="str">
        <f ca="1">IF($A42=0,"",OFFSET(PO!K$12,ROW(B42)-ROW(B$12),0))</f>
        <v>3.2.2.</v>
      </c>
      <c r="C42" s="127" t="str">
        <f ca="1">IF(OFFSET(PO!N$12,ROW(C42)-ROW(C$12),0)=0,"",OFFSET(PO!N$12,ROW(C42)-ROW(C$12),0))</f>
        <v>EMBOÇO, EM ARGAMASSA TRAÇO 1:2:8, PREPARO MECÂNICO COM BETONEIRA 400L, APLICADO MANUALMENTE EM FACES INTERNAS DE PAREDES, PARA AMBIENTE COM ÁREA  MAIOR QUE 10M2, ESPESSURA DE 20MM, COM EXECUÇÃO DE TALISCAS. AF_06/2014</v>
      </c>
      <c r="D42" s="129" t="str">
        <f ca="1">IF(OFFSET(PO!O$12,ROW(D42)-ROW(D$12),0)=0,"",OFFSET(PO!O$12,ROW(D42)-ROW(D$12),0))</f>
        <v>M2</v>
      </c>
      <c r="E42" s="165">
        <f ca="1">IF($A42&lt;&gt;"Serviço",0,ROUND(SUMIF($F$9:$P$9,"&lt;&gt;",$F42:$P42),15-13*PO!$X$3))</f>
        <v>428.54</v>
      </c>
      <c r="F42" s="215">
        <f ca="1">OFFSET(PO!$P$12,ROW($E42)-ROW(F$12),0)</f>
        <v>428.54</v>
      </c>
      <c r="G42" s="215"/>
      <c r="H42" s="215"/>
      <c r="I42" s="215"/>
      <c r="J42" s="215"/>
      <c r="K42" s="215"/>
      <c r="L42" s="215"/>
      <c r="M42" s="215"/>
      <c r="N42" s="215"/>
      <c r="O42" s="215"/>
      <c r="U42" s="215"/>
    </row>
    <row r="43" spans="1:21" s="4" customFormat="1" ht="38.25" x14ac:dyDescent="0.2">
      <c r="A43" s="128" t="str">
        <f ca="1">OFFSET(PO!J$12,ROW(A43)-ROW($A$12),0)</f>
        <v>Serviço</v>
      </c>
      <c r="B43" s="130" t="str">
        <f ca="1">IF($A43=0,"",OFFSET(PO!K$12,ROW(B43)-ROW(B$12),0))</f>
        <v>3.2.3.</v>
      </c>
      <c r="C43" s="127" t="str">
        <f ca="1">IF(OFFSET(PO!N$12,ROW(C43)-ROW(C$12),0)=0,"",OFFSET(PO!N$12,ROW(C43)-ROW(C$12),0))</f>
        <v>REVESTIMENTO CERÂMICO PARA PAREDES INTERNAS COM PLACAS TIPO ESMALTADA EXTRA DE DIMENSÕES 33X45 CM NA ALTURA INTEIRA DAS PAREDES.</v>
      </c>
      <c r="D43" s="129" t="str">
        <f ca="1">IF(OFFSET(PO!O$12,ROW(D43)-ROW(D$12),0)=0,"",OFFSET(PO!O$12,ROW(D43)-ROW(D$12),0))</f>
        <v>M2</v>
      </c>
      <c r="E43" s="165">
        <f ca="1">IF($A43&lt;&gt;"Serviço",0,ROUND(SUMIF($F$9:$P$9,"&lt;&gt;",$F43:$P43),15-13*PO!$X$3))</f>
        <v>293.06</v>
      </c>
      <c r="F43" s="215">
        <f ca="1">OFFSET(PO!$P$12,ROW($E43)-ROW(F$12),0)</f>
        <v>293.06</v>
      </c>
      <c r="G43" s="215"/>
      <c r="H43" s="215"/>
      <c r="I43" s="215"/>
      <c r="J43" s="215"/>
      <c r="K43" s="215"/>
      <c r="L43" s="215"/>
      <c r="M43" s="215"/>
      <c r="N43" s="215"/>
      <c r="O43" s="215"/>
      <c r="U43" s="215"/>
    </row>
    <row r="44" spans="1:21" s="4" customFormat="1" x14ac:dyDescent="0.2">
      <c r="A44" s="128" t="str">
        <f ca="1">OFFSET(PO!J$12,ROW(A44)-ROW($A$12),0)</f>
        <v>Nível 2</v>
      </c>
      <c r="B44" s="130" t="str">
        <f ca="1">IF($A44=0,"",OFFSET(PO!K$12,ROW(B44)-ROW(B$12),0))</f>
        <v>3.3.</v>
      </c>
      <c r="C44" s="127" t="str">
        <f ca="1">IF(OFFSET(PO!N$12,ROW(C44)-ROW(C$12),0)=0,"",OFFSET(PO!N$12,ROW(C44)-ROW(C$12),0))</f>
        <v>DIVISÓRIAS E ESQUADRIAS</v>
      </c>
      <c r="D44" s="129" t="str">
        <f ca="1">IF(OFFSET(PO!O$12,ROW(D44)-ROW(D$12),0)=0,"",OFFSET(PO!O$12,ROW(D44)-ROW(D$12),0))</f>
        <v/>
      </c>
      <c r="E44" s="165">
        <f ca="1">IF($A44&lt;&gt;"Serviço",0,ROUND(SUMIF($F$9:$P$9,"&lt;&gt;",$F44:$P44),15-13*PO!$X$3))</f>
        <v>0</v>
      </c>
      <c r="F44" s="215">
        <f ca="1">OFFSET(PO!$P$12,ROW($E44)-ROW(F$12),0)</f>
        <v>0</v>
      </c>
      <c r="G44" s="215"/>
      <c r="H44" s="215"/>
      <c r="I44" s="215"/>
      <c r="J44" s="215"/>
      <c r="K44" s="215"/>
      <c r="L44" s="215"/>
      <c r="M44" s="215"/>
      <c r="N44" s="215"/>
      <c r="O44" s="215"/>
      <c r="U44" s="215"/>
    </row>
    <row r="45" spans="1:21" s="4" customFormat="1" ht="38.25" x14ac:dyDescent="0.2">
      <c r="A45" s="128" t="str">
        <f ca="1">OFFSET(PO!J$12,ROW(A45)-ROW($A$12),0)</f>
        <v>Serviço</v>
      </c>
      <c r="B45" s="130" t="str">
        <f ca="1">IF($A45=0,"",OFFSET(PO!K$12,ROW(B45)-ROW(B$12),0))</f>
        <v>3.3.1.</v>
      </c>
      <c r="C45" s="127" t="str">
        <f ca="1">IF(OFFSET(PO!N$12,ROW(C45)-ROW(C$12),0)=0,"",OFFSET(PO!N$12,ROW(C45)-ROW(C$12),0))</f>
        <v>DIVISORIA EM GRANITO, COM DUAS FACES POLIDAS, TIPO ANDORINHA/ QUARTZ/ CASTELO/ CORUMBA OU OUTROS EQUIVALENTES DA REGIAO, E=  *3,0* CM</v>
      </c>
      <c r="D45" s="129" t="str">
        <f ca="1">IF(OFFSET(PO!O$12,ROW(D45)-ROW(D$12),0)=0,"",OFFSET(PO!O$12,ROW(D45)-ROW(D$12),0))</f>
        <v xml:space="preserve">M2    </v>
      </c>
      <c r="E45" s="165">
        <f ca="1">IF($A45&lt;&gt;"Serviço",0,ROUND(SUMIF($F$9:$P$9,"&lt;&gt;",$F45:$P45),15-13*PO!$X$3))</f>
        <v>32.4</v>
      </c>
      <c r="F45" s="215">
        <f ca="1">OFFSET(PO!$P$12,ROW($E45)-ROW(F$12),0)</f>
        <v>32.4</v>
      </c>
      <c r="G45" s="215"/>
      <c r="H45" s="215"/>
      <c r="I45" s="215"/>
      <c r="J45" s="215"/>
      <c r="K45" s="215"/>
      <c r="L45" s="215"/>
      <c r="M45" s="215"/>
      <c r="N45" s="215"/>
      <c r="O45" s="215"/>
      <c r="U45" s="215"/>
    </row>
    <row r="46" spans="1:21" s="4" customFormat="1" ht="25.5" x14ac:dyDescent="0.2">
      <c r="A46" s="128" t="str">
        <f ca="1">OFFSET(PO!J$12,ROW(A46)-ROW($A$12),0)</f>
        <v>Serviço</v>
      </c>
      <c r="B46" s="130" t="str">
        <f ca="1">IF($A46=0,"",OFFSET(PO!K$12,ROW(B46)-ROW(B$12),0))</f>
        <v>3.3.2.</v>
      </c>
      <c r="C46" s="127" t="str">
        <f ca="1">IF(OFFSET(PO!N$12,ROW(C46)-ROW(C$12),0)=0,"",OFFSET(PO!N$12,ROW(C46)-ROW(C$12),0))</f>
        <v>PORTA EM ALUMÍNIO DE ABRIR COM GUARNIÇÃO, FIXAÇÃO COM PARAFUSOS - FORNECIMENTO E INSTALAÇÃO. - P1</v>
      </c>
      <c r="D46" s="129" t="str">
        <f ca="1">IF(OFFSET(PO!O$12,ROW(D46)-ROW(D$12),0)=0,"",OFFSET(PO!O$12,ROW(D46)-ROW(D$12),0))</f>
        <v>M2</v>
      </c>
      <c r="E46" s="165">
        <f ca="1">IF($A46&lt;&gt;"Serviço",0,ROUND(SUMIF($F$9:$P$9,"&lt;&gt;",$F46:$P46),15-13*PO!$X$3))</f>
        <v>12.96</v>
      </c>
      <c r="F46" s="215">
        <f ca="1">OFFSET(PO!$P$12,ROW($E46)-ROW(F$12),0)</f>
        <v>12.96</v>
      </c>
      <c r="G46" s="215"/>
      <c r="H46" s="215"/>
      <c r="I46" s="215"/>
      <c r="J46" s="215"/>
      <c r="K46" s="215"/>
      <c r="L46" s="215"/>
      <c r="M46" s="215"/>
      <c r="N46" s="215"/>
      <c r="O46" s="215"/>
      <c r="U46" s="215"/>
    </row>
    <row r="47" spans="1:21" s="4" customFormat="1" ht="38.25" x14ac:dyDescent="0.2">
      <c r="A47" s="128" t="str">
        <f ca="1">OFFSET(PO!J$12,ROW(A47)-ROW($A$12),0)</f>
        <v>Serviço</v>
      </c>
      <c r="B47" s="130" t="str">
        <f ca="1">IF($A47=0,"",OFFSET(PO!K$12,ROW(B47)-ROW(B$12),0))</f>
        <v>3.3.3.</v>
      </c>
      <c r="C47" s="127" t="str">
        <f ca="1">IF(OFFSET(PO!N$12,ROW(C47)-ROW(C$12),0)=0,"",OFFSET(PO!N$12,ROW(C47)-ROW(C$12),0))</f>
        <v>PORTA DE AÇO CONFORME PADRÃO EXISTENTE INCLUSO FERRAGENS, PINTURA ANTICORROSIVA, REQUADRO E PINTURA ESMALTE - FORNECIMENTO E INSTALAÇÃO</v>
      </c>
      <c r="D47" s="129" t="str">
        <f ca="1">IF(OFFSET(PO!O$12,ROW(D47)-ROW(D$12),0)=0,"",OFFSET(PO!O$12,ROW(D47)-ROW(D$12),0))</f>
        <v>M2</v>
      </c>
      <c r="E47" s="165">
        <f ca="1">IF($A47&lt;&gt;"Serviço",0,ROUND(SUMIF($F$9:$P$9,"&lt;&gt;",$F47:$P47),15-13*PO!$X$3))</f>
        <v>63.21</v>
      </c>
      <c r="F47" s="215">
        <f ca="1">OFFSET(PO!$P$12,ROW($E47)-ROW(F$12),0)</f>
        <v>63.21</v>
      </c>
      <c r="G47" s="215"/>
      <c r="H47" s="215"/>
      <c r="I47" s="215"/>
      <c r="J47" s="215"/>
      <c r="K47" s="215"/>
      <c r="L47" s="215"/>
      <c r="M47" s="215"/>
      <c r="N47" s="215"/>
      <c r="O47" s="215"/>
      <c r="U47" s="215"/>
    </row>
    <row r="48" spans="1:21" s="4" customFormat="1" ht="25.5" x14ac:dyDescent="0.2">
      <c r="A48" s="128" t="str">
        <f ca="1">OFFSET(PO!J$12,ROW(A48)-ROW($A$12),0)</f>
        <v>Serviço</v>
      </c>
      <c r="B48" s="130" t="str">
        <f ca="1">IF($A48=0,"",OFFSET(PO!K$12,ROW(B48)-ROW(B$12),0))</f>
        <v>3.3.4.</v>
      </c>
      <c r="C48" s="127" t="str">
        <f ca="1">IF(OFFSET(PO!N$12,ROW(C48)-ROW(C$12),0)=0,"",OFFSET(PO!N$12,ROW(C48)-ROW(C$12),0))</f>
        <v>PEITORIL EM GRANITO, LARGURA 15 CM, ESPESSURA 2,0 CM. AF_06/2018</v>
      </c>
      <c r="D48" s="129" t="str">
        <f ca="1">IF(OFFSET(PO!O$12,ROW(D48)-ROW(D$12),0)=0,"",OFFSET(PO!O$12,ROW(D48)-ROW(D$12),0))</f>
        <v>M</v>
      </c>
      <c r="E48" s="165">
        <f ca="1">IF($A48&lt;&gt;"Serviço",0,ROUND(SUMIF($F$9:$P$9,"&lt;&gt;",$F48:$P48),15-13*PO!$X$3))</f>
        <v>17.600000000000001</v>
      </c>
      <c r="F48" s="215">
        <f ca="1">OFFSET(PO!$P$12,ROW($E48)-ROW(F$12),0)</f>
        <v>17.600000000000001</v>
      </c>
      <c r="G48" s="215"/>
      <c r="H48" s="215"/>
      <c r="I48" s="215"/>
      <c r="J48" s="215"/>
      <c r="K48" s="215"/>
      <c r="L48" s="215"/>
      <c r="M48" s="215"/>
      <c r="N48" s="215"/>
      <c r="O48" s="215"/>
      <c r="U48" s="215"/>
    </row>
    <row r="49" spans="1:21" s="4" customFormat="1" ht="51" x14ac:dyDescent="0.2">
      <c r="A49" s="128" t="str">
        <f ca="1">OFFSET(PO!J$12,ROW(A49)-ROW($A$12),0)</f>
        <v>Serviço</v>
      </c>
      <c r="B49" s="130" t="str">
        <f ca="1">IF($A49=0,"",OFFSET(PO!K$12,ROW(B49)-ROW(B$12),0))</f>
        <v>3.3.5.</v>
      </c>
      <c r="C49" s="127" t="str">
        <f ca="1">IF(OFFSET(PO!N$12,ROW(C49)-ROW(C$12),0)=0,"",OFFSET(PO!N$12,ROW(C49)-ROW(C$12),0))</f>
        <v>JANELA DE AÇO TIPO BASCULANTE COM BATENTE, FERRAGENS E PINTURA ANTICORROSIVA. INCLUSIVE VIDROS, REQUADRO E PINTURA ESMALTE - FORNECIMENTO E INSTALAÇÃO</v>
      </c>
      <c r="D49" s="129" t="str">
        <f ca="1">IF(OFFSET(PO!O$12,ROW(D49)-ROW(D$12),0)=0,"",OFFSET(PO!O$12,ROW(D49)-ROW(D$12),0))</f>
        <v>M2</v>
      </c>
      <c r="E49" s="165">
        <f ca="1">IF($A49&lt;&gt;"Serviço",0,ROUND(SUMIF($F$9:$P$9,"&lt;&gt;",$F49:$P49),15-13*PO!$X$3))</f>
        <v>26.4</v>
      </c>
      <c r="F49" s="215">
        <f ca="1">OFFSET(PO!$P$12,ROW($E49)-ROW(F$12),0)</f>
        <v>26.4</v>
      </c>
      <c r="G49" s="215"/>
      <c r="H49" s="215"/>
      <c r="I49" s="215"/>
      <c r="J49" s="215"/>
      <c r="K49" s="215"/>
      <c r="L49" s="215"/>
      <c r="M49" s="215"/>
      <c r="N49" s="215"/>
      <c r="O49" s="215"/>
      <c r="U49" s="215"/>
    </row>
    <row r="50" spans="1:21" s="4" customFormat="1" x14ac:dyDescent="0.2">
      <c r="A50" s="128" t="str">
        <f ca="1">OFFSET(PO!J$12,ROW(A50)-ROW($A$12),0)</f>
        <v>Nível 2</v>
      </c>
      <c r="B50" s="130" t="str">
        <f ca="1">IF($A50=0,"",OFFSET(PO!K$12,ROW(B50)-ROW(B$12),0))</f>
        <v>3.4.</v>
      </c>
      <c r="C50" s="127" t="str">
        <f ca="1">IF(OFFSET(PO!N$12,ROW(C50)-ROW(C$12),0)=0,"",OFFSET(PO!N$12,ROW(C50)-ROW(C$12),0))</f>
        <v>EQUIPAMENTO SANITÁRIO</v>
      </c>
      <c r="D50" s="129" t="str">
        <f ca="1">IF(OFFSET(PO!O$12,ROW(D50)-ROW(D$12),0)=0,"",OFFSET(PO!O$12,ROW(D50)-ROW(D$12),0))</f>
        <v/>
      </c>
      <c r="E50" s="165">
        <f ca="1">IF($A50&lt;&gt;"Serviço",0,ROUND(SUMIF($F$9:$P$9,"&lt;&gt;",$F50:$P50),15-13*PO!$X$3))</f>
        <v>0</v>
      </c>
      <c r="F50" s="215">
        <f ca="1">OFFSET(PO!$P$12,ROW($E50)-ROW(F$12),0)</f>
        <v>0</v>
      </c>
      <c r="G50" s="215"/>
      <c r="H50" s="215"/>
      <c r="I50" s="215"/>
      <c r="J50" s="215"/>
      <c r="K50" s="215"/>
      <c r="L50" s="215"/>
      <c r="M50" s="215"/>
      <c r="N50" s="215"/>
      <c r="O50" s="215"/>
      <c r="U50" s="215"/>
    </row>
    <row r="51" spans="1:21" s="4" customFormat="1" ht="38.25" x14ac:dyDescent="0.2">
      <c r="A51" s="128" t="str">
        <f ca="1">OFFSET(PO!J$12,ROW(A51)-ROW($A$12),0)</f>
        <v>Serviço</v>
      </c>
      <c r="B51" s="130" t="str">
        <f ca="1">IF($A51=0,"",OFFSET(PO!K$12,ROW(B51)-ROW(B$12),0))</f>
        <v>3.4.1.</v>
      </c>
      <c r="C51" s="127" t="str">
        <f ca="1">IF(OFFSET(PO!N$12,ROW(C51)-ROW(C$12),0)=0,"",OFFSET(PO!N$12,ROW(C51)-ROW(C$12),0))</f>
        <v>VASO SANITÁRIO SIFONADO COM CAIXA ACOPLADA LOUÇA BRANCA, INCLUSO ENGATE FLEXÍVEL EM PLÁSTICO BRANCO, 1/2  X 40CM - FORNECIMENTO E INSTALAÇÃO.</v>
      </c>
      <c r="D51" s="129" t="str">
        <f ca="1">IF(OFFSET(PO!O$12,ROW(D51)-ROW(D$12),0)=0,"",OFFSET(PO!O$12,ROW(D51)-ROW(D$12),0))</f>
        <v>UN</v>
      </c>
      <c r="E51" s="165">
        <f ca="1">IF($A51&lt;&gt;"Serviço",0,ROUND(SUMIF($F$9:$P$9,"&lt;&gt;",$F51:$P51),15-13*PO!$X$3))</f>
        <v>6</v>
      </c>
      <c r="F51" s="215">
        <f ca="1">OFFSET(PO!$P$12,ROW($E51)-ROW(F$12),0)</f>
        <v>6</v>
      </c>
      <c r="G51" s="215"/>
      <c r="H51" s="215"/>
      <c r="I51" s="215"/>
      <c r="J51" s="215"/>
      <c r="K51" s="215"/>
      <c r="L51" s="215"/>
      <c r="M51" s="215"/>
      <c r="N51" s="215"/>
      <c r="O51" s="215"/>
      <c r="U51" s="215"/>
    </row>
    <row r="52" spans="1:21" s="4" customFormat="1" ht="51" x14ac:dyDescent="0.2">
      <c r="A52" s="128" t="str">
        <f ca="1">OFFSET(PO!J$12,ROW(A52)-ROW($A$12),0)</f>
        <v>Serviço</v>
      </c>
      <c r="B52" s="130" t="str">
        <f ca="1">IF($A52=0,"",OFFSET(PO!K$12,ROW(B52)-ROW(B$12),0))</f>
        <v>3.4.2.</v>
      </c>
      <c r="C52" s="127" t="str">
        <f ca="1">IF(OFFSET(PO!N$12,ROW(C52)-ROW(C$12),0)=0,"",OFFSET(PO!N$12,ROW(C52)-ROW(C$12),0))</f>
        <v>VASO SANITARIO SIFONADO CONVENCIONAL PARA PCD SEM FURO FRONTAL COM LOUÇA BRANCA SEM ASSENTO, INCLUSO CONJUNTO DE LIGAÇÃO PARA BACIA SANITÁRIA AJUSTÁVEL - FORNECIMENTO E INSTALAÇÃO</v>
      </c>
      <c r="D52" s="129" t="str">
        <f ca="1">IF(OFFSET(PO!O$12,ROW(D52)-ROW(D$12),0)=0,"",OFFSET(PO!O$12,ROW(D52)-ROW(D$12),0))</f>
        <v>UN</v>
      </c>
      <c r="E52" s="165">
        <f ca="1">IF($A52&lt;&gt;"Serviço",0,ROUND(SUMIF($F$9:$P$9,"&lt;&gt;",$F52:$P52),15-13*PO!$X$3))</f>
        <v>1</v>
      </c>
      <c r="F52" s="215">
        <f ca="1">OFFSET(PO!$P$12,ROW($E52)-ROW(F$12),0)</f>
        <v>1</v>
      </c>
      <c r="G52" s="215"/>
      <c r="H52" s="215"/>
      <c r="I52" s="215"/>
      <c r="J52" s="215"/>
      <c r="K52" s="215"/>
      <c r="L52" s="215"/>
      <c r="M52" s="215"/>
      <c r="N52" s="215"/>
      <c r="O52" s="215"/>
      <c r="U52" s="215"/>
    </row>
    <row r="53" spans="1:21" s="4" customFormat="1" ht="25.5" x14ac:dyDescent="0.2">
      <c r="A53" s="128" t="str">
        <f ca="1">OFFSET(PO!J$12,ROW(A53)-ROW($A$12),0)</f>
        <v>Serviço</v>
      </c>
      <c r="B53" s="130" t="str">
        <f ca="1">IF($A53=0,"",OFFSET(PO!K$12,ROW(B53)-ROW(B$12),0))</f>
        <v>3.4.3.</v>
      </c>
      <c r="C53" s="127" t="str">
        <f ca="1">IF(OFFSET(PO!N$12,ROW(C53)-ROW(C$12),0)=0,"",OFFSET(PO!N$12,ROW(C53)-ROW(C$12),0))</f>
        <v>CHUVEIRO ELÉTRICO COMUM CORPO PLÁSTICO, TIPO DUCHA  FORNECIMENTO E INSTALAÇÃO</v>
      </c>
      <c r="D53" s="129" t="str">
        <f ca="1">IF(OFFSET(PO!O$12,ROW(D53)-ROW(D$12),0)=0,"",OFFSET(PO!O$12,ROW(D53)-ROW(D$12),0))</f>
        <v>UN</v>
      </c>
      <c r="E53" s="165">
        <f ca="1">IF($A53&lt;&gt;"Serviço",0,ROUND(SUMIF($F$9:$P$9,"&lt;&gt;",$F53:$P53),15-13*PO!$X$3))</f>
        <v>7</v>
      </c>
      <c r="F53" s="215">
        <f ca="1">OFFSET(PO!$P$12,ROW($E53)-ROW(F$12),0)</f>
        <v>7</v>
      </c>
      <c r="G53" s="215"/>
      <c r="H53" s="215"/>
      <c r="I53" s="215"/>
      <c r="J53" s="215"/>
      <c r="K53" s="215"/>
      <c r="L53" s="215"/>
      <c r="M53" s="215"/>
      <c r="N53" s="215"/>
      <c r="O53" s="215"/>
      <c r="U53" s="215"/>
    </row>
    <row r="54" spans="1:21" s="4" customFormat="1" ht="63.75" x14ac:dyDescent="0.2">
      <c r="A54" s="128" t="str">
        <f ca="1">OFFSET(PO!J$12,ROW(A54)-ROW($A$12),0)</f>
        <v>Serviço</v>
      </c>
      <c r="B54" s="130" t="str">
        <f ca="1">IF($A54=0,"",OFFSET(PO!K$12,ROW(B54)-ROW(B$12),0))</f>
        <v>3.4.4.</v>
      </c>
      <c r="C54" s="127" t="str">
        <f ca="1">IF(OFFSET(PO!N$12,ROW(C54)-ROW(C$12),0)=0,"",OFFSET(PO!N$12,ROW(C54)-ROW(C$12),0))</f>
        <v>BANCADA GRANITO CINZA,  50 X 60 CM, INCL. CUBA DE EMBUTIR OVAL LOUÇA BRANCA 35 X 50 CM, VÁLVULA METAL CROMADO, SIFÃO FLEXÍVEL PVC, ENGATE 30 CM FLEXÍVEL PLÁSTICO E TORNEIRA CROMADA DE MESA, PADRÃO POPULAR - FORNEC. E INSTALAÇÃO</v>
      </c>
      <c r="D54" s="129" t="str">
        <f ca="1">IF(OFFSET(PO!O$12,ROW(D54)-ROW(D$12),0)=0,"",OFFSET(PO!O$12,ROW(D54)-ROW(D$12),0))</f>
        <v>UN</v>
      </c>
      <c r="E54" s="165">
        <f ca="1">IF($A54&lt;&gt;"Serviço",0,ROUND(SUMIF($F$9:$P$9,"&lt;&gt;",$F54:$P54),15-13*PO!$X$3))</f>
        <v>3</v>
      </c>
      <c r="F54" s="215">
        <f ca="1">OFFSET(PO!$P$12,ROW($E54)-ROW(F$12),0)</f>
        <v>3</v>
      </c>
      <c r="G54" s="215"/>
      <c r="H54" s="215"/>
      <c r="I54" s="215"/>
      <c r="J54" s="215"/>
      <c r="K54" s="215"/>
      <c r="L54" s="215"/>
      <c r="M54" s="215"/>
      <c r="N54" s="215"/>
      <c r="O54" s="215"/>
      <c r="U54" s="215"/>
    </row>
    <row r="55" spans="1:21" s="4" customFormat="1" ht="63.75" x14ac:dyDescent="0.2">
      <c r="A55" s="128" t="str">
        <f ca="1">OFFSET(PO!J$12,ROW(A55)-ROW($A$12),0)</f>
        <v>Serviço</v>
      </c>
      <c r="B55" s="130" t="str">
        <f ca="1">IF($A55=0,"",OFFSET(PO!K$12,ROW(B55)-ROW(B$12),0))</f>
        <v>3.4.5.</v>
      </c>
      <c r="C55" s="127" t="str">
        <f ca="1">IF(OFFSET(PO!N$12,ROW(C55)-ROW(C$12),0)=0,"",OFFSET(PO!N$12,ROW(C55)-ROW(C$12),0))</f>
        <v>LAVATÓRIO LOUÇA BRANCA SUSPENSO, 29,5 X 39CM OU EQUIVALENTE, PADRÃO POPULAR, INCLUSO SIFÃO TIPO GARRAFA EM PVC, VÁLVULA E ENGATE FLEXÍVEL 30CM EM PLÁSTICO E TORNEIRA CROMADA DE MESA, PADRÃO POPULAR - FORNECIMENTO E INSTALAÇÃO</v>
      </c>
      <c r="D55" s="129" t="str">
        <f ca="1">IF(OFFSET(PO!O$12,ROW(D55)-ROW(D$12),0)=0,"",OFFSET(PO!O$12,ROW(D55)-ROW(D$12),0))</f>
        <v>UN</v>
      </c>
      <c r="E55" s="165">
        <f ca="1">IF($A55&lt;&gt;"Serviço",0,ROUND(SUMIF($F$9:$P$9,"&lt;&gt;",$F55:$P55),15-13*PO!$X$3))</f>
        <v>3</v>
      </c>
      <c r="F55" s="215">
        <f ca="1">OFFSET(PO!$P$12,ROW($E55)-ROW(F$12),0)</f>
        <v>3</v>
      </c>
      <c r="G55" s="215"/>
      <c r="H55" s="215"/>
      <c r="I55" s="215"/>
      <c r="J55" s="215"/>
      <c r="K55" s="215"/>
      <c r="L55" s="215"/>
      <c r="M55" s="215"/>
      <c r="N55" s="215"/>
      <c r="O55" s="215"/>
      <c r="U55" s="215"/>
    </row>
    <row r="56" spans="1:21" s="4" customFormat="1" ht="38.25" x14ac:dyDescent="0.2">
      <c r="A56" s="128" t="str">
        <f ca="1">OFFSET(PO!J$12,ROW(A56)-ROW($A$12),0)</f>
        <v>Serviço</v>
      </c>
      <c r="B56" s="130" t="str">
        <f ca="1">IF($A56=0,"",OFFSET(PO!K$12,ROW(B56)-ROW(B$12),0))</f>
        <v>3.4.6.</v>
      </c>
      <c r="C56" s="127" t="str">
        <f ca="1">IF(OFFSET(PO!N$12,ROW(C56)-ROW(C$12),0)=0,"",OFFSET(PO!N$12,ROW(C56)-ROW(C$12),0))</f>
        <v>BARRA DE APOIO LATERAL ARTICULADA, COM TRAVA, EM ACO INOX POLIDO, FIXADA NA PAREDE - FORNECIMENTO E INSTALAÇÃO. AF_01/2020</v>
      </c>
      <c r="D56" s="129" t="str">
        <f ca="1">IF(OFFSET(PO!O$12,ROW(D56)-ROW(D$12),0)=0,"",OFFSET(PO!O$12,ROW(D56)-ROW(D$12),0))</f>
        <v>UN</v>
      </c>
      <c r="E56" s="165">
        <f ca="1">IF($A56&lt;&gt;"Serviço",0,ROUND(SUMIF($F$9:$P$9,"&lt;&gt;",$F56:$P56),15-13*PO!$X$3))</f>
        <v>1</v>
      </c>
      <c r="F56" s="215">
        <f ca="1">OFFSET(PO!$P$12,ROW($E56)-ROW(F$12),0)</f>
        <v>1</v>
      </c>
      <c r="G56" s="215"/>
      <c r="H56" s="215"/>
      <c r="I56" s="215"/>
      <c r="J56" s="215"/>
      <c r="K56" s="215"/>
      <c r="L56" s="215"/>
      <c r="M56" s="215"/>
      <c r="N56" s="215"/>
      <c r="O56" s="215"/>
      <c r="U56" s="215"/>
    </row>
    <row r="57" spans="1:21" s="4" customFormat="1" ht="38.25" x14ac:dyDescent="0.2">
      <c r="A57" s="128" t="str">
        <f ca="1">OFFSET(PO!J$12,ROW(A57)-ROW($A$12),0)</f>
        <v>Serviço</v>
      </c>
      <c r="B57" s="130" t="str">
        <f ca="1">IF($A57=0,"",OFFSET(PO!K$12,ROW(B57)-ROW(B$12),0))</f>
        <v>3.4.7.</v>
      </c>
      <c r="C57" s="127" t="str">
        <f ca="1">IF(OFFSET(PO!N$12,ROW(C57)-ROW(C$12),0)=0,"",OFFSET(PO!N$12,ROW(C57)-ROW(C$12),0))</f>
        <v>BARRA DE APOIO RETA, EM ACO INOX POLIDO, COMPRIMENTO 80 CM,  FIXADA NA PAREDE - FORNECIMENTO E INSTALAÇÃO. AF_01/2020</v>
      </c>
      <c r="D57" s="129" t="str">
        <f ca="1">IF(OFFSET(PO!O$12,ROW(D57)-ROW(D$12),0)=0,"",OFFSET(PO!O$12,ROW(D57)-ROW(D$12),0))</f>
        <v>UN</v>
      </c>
      <c r="E57" s="165">
        <f ca="1">IF($A57&lt;&gt;"Serviço",0,ROUND(SUMIF($F$9:$P$9,"&lt;&gt;",$F57:$P57),15-13*PO!$X$3))</f>
        <v>1</v>
      </c>
      <c r="F57" s="215">
        <f ca="1">OFFSET(PO!$P$12,ROW($E57)-ROW(F$12),0)</f>
        <v>1</v>
      </c>
      <c r="G57" s="215"/>
      <c r="H57" s="215"/>
      <c r="I57" s="215"/>
      <c r="J57" s="215"/>
      <c r="K57" s="215"/>
      <c r="L57" s="215"/>
      <c r="M57" s="215"/>
      <c r="N57" s="215"/>
      <c r="O57" s="215"/>
      <c r="U57" s="215"/>
    </row>
    <row r="58" spans="1:21" s="4" customFormat="1" ht="38.25" x14ac:dyDescent="0.2">
      <c r="A58" s="128" t="str">
        <f ca="1">OFFSET(PO!J$12,ROW(A58)-ROW($A$12),0)</f>
        <v>Serviço</v>
      </c>
      <c r="B58" s="130" t="str">
        <f ca="1">IF($A58=0,"",OFFSET(PO!K$12,ROW(B58)-ROW(B$12),0))</f>
        <v>3.4.8.</v>
      </c>
      <c r="C58" s="127" t="str">
        <f ca="1">IF(OFFSET(PO!N$12,ROW(C58)-ROW(C$12),0)=0,"",OFFSET(PO!N$12,ROW(C58)-ROW(C$12),0))</f>
        <v>BARRA DE APOIO RETA, EM ACO INOX POLIDO, COMPRIMENTO 60CM, FIXADA NA PAREDE - FORNECIMENTO E INSTALAÇÃO. AF_01/2020</v>
      </c>
      <c r="D58" s="129" t="str">
        <f ca="1">IF(OFFSET(PO!O$12,ROW(D58)-ROW(D$12),0)=0,"",OFFSET(PO!O$12,ROW(D58)-ROW(D$12),0))</f>
        <v>UN</v>
      </c>
      <c r="E58" s="165">
        <f ca="1">IF($A58&lt;&gt;"Serviço",0,ROUND(SUMIF($F$9:$P$9,"&lt;&gt;",$F58:$P58),15-13*PO!$X$3))</f>
        <v>1</v>
      </c>
      <c r="F58" s="215">
        <f ca="1">OFFSET(PO!$P$12,ROW($E58)-ROW(F$12),0)</f>
        <v>1</v>
      </c>
      <c r="G58" s="215"/>
      <c r="H58" s="215"/>
      <c r="I58" s="215"/>
      <c r="J58" s="215"/>
      <c r="K58" s="215"/>
      <c r="L58" s="215"/>
      <c r="M58" s="215"/>
      <c r="N58" s="215"/>
      <c r="O58" s="215"/>
      <c r="U58" s="215"/>
    </row>
    <row r="59" spans="1:21" s="4" customFormat="1" x14ac:dyDescent="0.2">
      <c r="A59" s="128" t="str">
        <f ca="1">OFFSET(PO!J$12,ROW(A59)-ROW($A$12),0)</f>
        <v>Serviço</v>
      </c>
      <c r="B59" s="130" t="str">
        <f ca="1">IF($A59=0,"",OFFSET(PO!K$12,ROW(B59)-ROW(B$12),0))</f>
        <v>3.4.9.</v>
      </c>
      <c r="C59" s="127" t="str">
        <f ca="1">IF(OFFSET(PO!N$12,ROW(C59)-ROW(C$12),0)=0,"",OFFSET(PO!N$12,ROW(C59)-ROW(C$12),0))</f>
        <v>ASSENTO SANITARIO DE PLASTICO, TIPO CONVENCIONAL</v>
      </c>
      <c r="D59" s="129" t="str">
        <f ca="1">IF(OFFSET(PO!O$12,ROW(D59)-ROW(D$12),0)=0,"",OFFSET(PO!O$12,ROW(D59)-ROW(D$12),0))</f>
        <v xml:space="preserve">UN    </v>
      </c>
      <c r="E59" s="165">
        <f ca="1">IF($A59&lt;&gt;"Serviço",0,ROUND(SUMIF($F$9:$P$9,"&lt;&gt;",$F59:$P59),15-13*PO!$X$3))</f>
        <v>7</v>
      </c>
      <c r="F59" s="215">
        <f ca="1">OFFSET(PO!$P$12,ROW($E59)-ROW(F$12),0)</f>
        <v>7</v>
      </c>
      <c r="G59" s="215"/>
      <c r="H59" s="215"/>
      <c r="I59" s="215"/>
      <c r="J59" s="215"/>
      <c r="K59" s="215"/>
      <c r="L59" s="215"/>
      <c r="M59" s="215"/>
      <c r="N59" s="215"/>
      <c r="O59" s="215"/>
      <c r="U59" s="215"/>
    </row>
    <row r="60" spans="1:21" s="4" customFormat="1" ht="38.25" x14ac:dyDescent="0.2">
      <c r="A60" s="128" t="str">
        <f ca="1">OFFSET(PO!J$12,ROW(A60)-ROW($A$12),0)</f>
        <v>Serviço</v>
      </c>
      <c r="B60" s="130" t="str">
        <f ca="1">IF($A60=0,"",OFFSET(PO!K$12,ROW(B60)-ROW(B$12),0))</f>
        <v>3.4.10.</v>
      </c>
      <c r="C60" s="127" t="str">
        <f ca="1">IF(OFFSET(PO!N$12,ROW(C60)-ROW(C$12),0)=0,"",OFFSET(PO!N$12,ROW(C60)-ROW(C$12),0))</f>
        <v>SABONETEIRA PLASTICA TIPO DISPENSER PARA SABONETE LIQUIDO COM RESERVATORIO 800 A 1500 ML, INCLUSO FIXAÇÃO. AF_01/2020</v>
      </c>
      <c r="D60" s="129" t="str">
        <f ca="1">IF(OFFSET(PO!O$12,ROW(D60)-ROW(D$12),0)=0,"",OFFSET(PO!O$12,ROW(D60)-ROW(D$12),0))</f>
        <v>UN</v>
      </c>
      <c r="E60" s="165">
        <f ca="1">IF($A60&lt;&gt;"Serviço",0,ROUND(SUMIF($F$9:$P$9,"&lt;&gt;",$F60:$P60),15-13*PO!$X$3))</f>
        <v>6</v>
      </c>
      <c r="F60" s="215">
        <f ca="1">OFFSET(PO!$P$12,ROW($E60)-ROW(F$12),0)</f>
        <v>6</v>
      </c>
      <c r="G60" s="215"/>
      <c r="H60" s="215"/>
      <c r="I60" s="215"/>
      <c r="J60" s="215"/>
      <c r="K60" s="215"/>
      <c r="L60" s="215"/>
      <c r="M60" s="215"/>
      <c r="N60" s="215"/>
      <c r="O60" s="215"/>
      <c r="U60" s="215"/>
    </row>
    <row r="61" spans="1:21" s="4" customFormat="1" ht="25.5" x14ac:dyDescent="0.2">
      <c r="A61" s="128" t="str">
        <f ca="1">OFFSET(PO!J$12,ROW(A61)-ROW($A$12),0)</f>
        <v>Serviço</v>
      </c>
      <c r="B61" s="130" t="str">
        <f ca="1">IF($A61=0,"",OFFSET(PO!K$12,ROW(B61)-ROW(B$12),0))</f>
        <v>3.4.11.</v>
      </c>
      <c r="C61" s="127" t="str">
        <f ca="1">IF(OFFSET(PO!N$12,ROW(C61)-ROW(C$12),0)=0,"",OFFSET(PO!N$12,ROW(C61)-ROW(C$12),0))</f>
        <v>TOALHEIRO PLASTICO TIPO DISPENSER PARA PAPEL TOALHA INTERFOLHADO</v>
      </c>
      <c r="D61" s="129" t="str">
        <f ca="1">IF(OFFSET(PO!O$12,ROW(D61)-ROW(D$12),0)=0,"",OFFSET(PO!O$12,ROW(D61)-ROW(D$12),0))</f>
        <v xml:space="preserve">UN    </v>
      </c>
      <c r="E61" s="165">
        <f ca="1">IF($A61&lt;&gt;"Serviço",0,ROUND(SUMIF($F$9:$P$9,"&lt;&gt;",$F61:$P61),15-13*PO!$X$3))</f>
        <v>6</v>
      </c>
      <c r="F61" s="215">
        <f ca="1">OFFSET(PO!$P$12,ROW($E61)-ROW(F$12),0)</f>
        <v>6</v>
      </c>
      <c r="G61" s="215"/>
      <c r="H61" s="215"/>
      <c r="I61" s="215"/>
      <c r="J61" s="215"/>
      <c r="K61" s="215"/>
      <c r="L61" s="215"/>
      <c r="M61" s="215"/>
      <c r="N61" s="215"/>
      <c r="O61" s="215"/>
      <c r="U61" s="215"/>
    </row>
    <row r="62" spans="1:21" s="4" customFormat="1" ht="25.5" x14ac:dyDescent="0.2">
      <c r="A62" s="128" t="str">
        <f ca="1">OFFSET(PO!J$12,ROW(A62)-ROW($A$12),0)</f>
        <v>Serviço</v>
      </c>
      <c r="B62" s="130" t="str">
        <f ca="1">IF($A62=0,"",OFFSET(PO!K$12,ROW(B62)-ROW(B$12),0))</f>
        <v>3.4.12.</v>
      </c>
      <c r="C62" s="127" t="str">
        <f ca="1">IF(OFFSET(PO!N$12,ROW(C62)-ROW(C$12),0)=0,"",OFFSET(PO!N$12,ROW(C62)-ROW(C$12),0))</f>
        <v>SABONETEIRA DE PAREDE EM METAL CROMADO, INCLUSO FIXAÇÃO. AF_01/2020</v>
      </c>
      <c r="D62" s="129" t="str">
        <f ca="1">IF(OFFSET(PO!O$12,ROW(D62)-ROW(D$12),0)=0,"",OFFSET(PO!O$12,ROW(D62)-ROW(D$12),0))</f>
        <v>UN</v>
      </c>
      <c r="E62" s="165">
        <f ca="1">IF($A62&lt;&gt;"Serviço",0,ROUND(SUMIF($F$9:$P$9,"&lt;&gt;",$F62:$P62),15-13*PO!$X$3))</f>
        <v>7</v>
      </c>
      <c r="F62" s="215">
        <f ca="1">OFFSET(PO!$P$12,ROW($E62)-ROW(F$12),0)</f>
        <v>7</v>
      </c>
      <c r="G62" s="215"/>
      <c r="H62" s="215"/>
      <c r="I62" s="215"/>
      <c r="J62" s="215"/>
      <c r="K62" s="215"/>
      <c r="L62" s="215"/>
      <c r="M62" s="215"/>
      <c r="N62" s="215"/>
      <c r="O62" s="215"/>
      <c r="U62" s="215"/>
    </row>
    <row r="63" spans="1:21" s="4" customFormat="1" ht="25.5" x14ac:dyDescent="0.2">
      <c r="A63" s="128" t="str">
        <f ca="1">OFFSET(PO!J$12,ROW(A63)-ROW($A$12),0)</f>
        <v>Serviço</v>
      </c>
      <c r="B63" s="130" t="str">
        <f ca="1">IF($A63=0,"",OFFSET(PO!K$12,ROW(B63)-ROW(B$12),0))</f>
        <v>3.4.13.</v>
      </c>
      <c r="C63" s="127" t="str">
        <f ca="1">IF(OFFSET(PO!N$12,ROW(C63)-ROW(C$12),0)=0,"",OFFSET(PO!N$12,ROW(C63)-ROW(C$12),0))</f>
        <v>PORTA TOALHA BANHO EM METAL CROMADO, TIPO BARRA, INCLUSO FIXAÇÃO. AF_01/2020</v>
      </c>
      <c r="D63" s="129" t="str">
        <f ca="1">IF(OFFSET(PO!O$12,ROW(D63)-ROW(D$12),0)=0,"",OFFSET(PO!O$12,ROW(D63)-ROW(D$12),0))</f>
        <v>UN</v>
      </c>
      <c r="E63" s="165">
        <f ca="1">IF($A63&lt;&gt;"Serviço",0,ROUND(SUMIF($F$9:$P$9,"&lt;&gt;",$F63:$P63),15-13*PO!$X$3))</f>
        <v>7</v>
      </c>
      <c r="F63" s="215">
        <f ca="1">OFFSET(PO!$P$12,ROW($E63)-ROW(F$12),0)</f>
        <v>7</v>
      </c>
      <c r="G63" s="215"/>
      <c r="H63" s="215"/>
      <c r="I63" s="215"/>
      <c r="J63" s="215"/>
      <c r="K63" s="215"/>
      <c r="L63" s="215"/>
      <c r="M63" s="215"/>
      <c r="N63" s="215"/>
      <c r="O63" s="215"/>
      <c r="U63" s="215"/>
    </row>
    <row r="64" spans="1:21" s="4" customFormat="1" x14ac:dyDescent="0.2">
      <c r="A64" s="128" t="str">
        <f ca="1">OFFSET(PO!J$12,ROW(A64)-ROW($A$12),0)</f>
        <v>Nível 2</v>
      </c>
      <c r="B64" s="130" t="str">
        <f ca="1">IF($A64=0,"",OFFSET(PO!K$12,ROW(B64)-ROW(B$12),0))</f>
        <v>3.5.</v>
      </c>
      <c r="C64" s="127" t="str">
        <f ca="1">IF(OFFSET(PO!N$12,ROW(C64)-ROW(C$12),0)=0,"",OFFSET(PO!N$12,ROW(C64)-ROW(C$12),0))</f>
        <v>INSTALAÇÕES DE ÁGUA FRIA E ESGOTO SANITÁRIO</v>
      </c>
      <c r="D64" s="129" t="str">
        <f ca="1">IF(OFFSET(PO!O$12,ROW(D64)-ROW(D$12),0)=0,"",OFFSET(PO!O$12,ROW(D64)-ROW(D$12),0))</f>
        <v/>
      </c>
      <c r="E64" s="165">
        <f ca="1">IF($A64&lt;&gt;"Serviço",0,ROUND(SUMIF($F$9:$P$9,"&lt;&gt;",$F64:$P64),15-13*PO!$X$3))</f>
        <v>0</v>
      </c>
      <c r="F64" s="215">
        <f ca="1">OFFSET(PO!$P$12,ROW($E64)-ROW(F$12),0)</f>
        <v>0</v>
      </c>
      <c r="G64" s="215"/>
      <c r="H64" s="215"/>
      <c r="I64" s="215"/>
      <c r="J64" s="215"/>
      <c r="K64" s="215"/>
      <c r="L64" s="215"/>
      <c r="M64" s="215"/>
      <c r="N64" s="215"/>
      <c r="O64" s="215"/>
      <c r="U64" s="215"/>
    </row>
    <row r="65" spans="1:21" s="4" customFormat="1" x14ac:dyDescent="0.2">
      <c r="A65" s="128" t="str">
        <f ca="1">OFFSET(PO!J$12,ROW(A65)-ROW($A$12),0)</f>
        <v>Serviço</v>
      </c>
      <c r="B65" s="130" t="str">
        <f ca="1">IF($A65=0,"",OFFSET(PO!K$12,ROW(B65)-ROW(B$12),0))</f>
        <v>3.5.1.</v>
      </c>
      <c r="C65" s="127" t="str">
        <f ca="1">IF(OFFSET(PO!N$12,ROW(C65)-ROW(C$12),0)=0,"",OFFSET(PO!N$12,ROW(C65)-ROW(C$12),0))</f>
        <v>INSTALAÇÃO DE CAIXA D'AGUA</v>
      </c>
      <c r="D65" s="129" t="str">
        <f ca="1">IF(OFFSET(PO!O$12,ROW(D65)-ROW(D$12),0)=0,"",OFFSET(PO!O$12,ROW(D65)-ROW(D$12),0))</f>
        <v>UN</v>
      </c>
      <c r="E65" s="165">
        <f ca="1">IF($A65&lt;&gt;"Serviço",0,ROUND(SUMIF($F$9:$P$9,"&lt;&gt;",$F65:$P65),15-13*PO!$X$3))</f>
        <v>4</v>
      </c>
      <c r="F65" s="215">
        <f ca="1">OFFSET(PO!$P$12,ROW($E65)-ROW(F$12),0)</f>
        <v>4</v>
      </c>
      <c r="G65" s="215"/>
      <c r="H65" s="215"/>
      <c r="I65" s="215"/>
      <c r="J65" s="215"/>
      <c r="K65" s="215"/>
      <c r="L65" s="215"/>
      <c r="M65" s="215"/>
      <c r="N65" s="215"/>
      <c r="O65" s="215"/>
      <c r="U65" s="215"/>
    </row>
    <row r="66" spans="1:21" s="4" customFormat="1" x14ac:dyDescent="0.2">
      <c r="A66" s="128" t="str">
        <f ca="1">OFFSET(PO!J$12,ROW(A66)-ROW($A$12),0)</f>
        <v>Serviço</v>
      </c>
      <c r="B66" s="130" t="str">
        <f ca="1">IF($A66=0,"",OFFSET(PO!K$12,ROW(B66)-ROW(B$12),0))</f>
        <v>3.5.2.</v>
      </c>
      <c r="C66" s="127" t="str">
        <f ca="1">IF(OFFSET(PO!N$12,ROW(C66)-ROW(C$12),0)=0,"",OFFSET(PO!N$12,ROW(C66)-ROW(C$12),0))</f>
        <v>BOMBA RECALQUE D'AGUA PREDIO 3 A 5 PAVTOS - 2UD</v>
      </c>
      <c r="D66" s="129" t="str">
        <f ca="1">IF(OFFSET(PO!O$12,ROW(D66)-ROW(D$12),0)=0,"",OFFSET(PO!O$12,ROW(D66)-ROW(D$12),0))</f>
        <v>UN</v>
      </c>
      <c r="E66" s="165">
        <f ca="1">IF($A66&lt;&gt;"Serviço",0,ROUND(SUMIF($F$9:$P$9,"&lt;&gt;",$F66:$P66),15-13*PO!$X$3))</f>
        <v>2</v>
      </c>
      <c r="F66" s="215">
        <f ca="1">OFFSET(PO!$P$12,ROW($E66)-ROW(F$12),0)</f>
        <v>2</v>
      </c>
      <c r="G66" s="215"/>
      <c r="H66" s="215"/>
      <c r="I66" s="215"/>
      <c r="J66" s="215"/>
      <c r="K66" s="215"/>
      <c r="L66" s="215"/>
      <c r="M66" s="215"/>
      <c r="N66" s="215"/>
      <c r="O66" s="215"/>
      <c r="U66" s="215"/>
    </row>
    <row r="67" spans="1:21" s="4" customFormat="1" ht="63.75" x14ac:dyDescent="0.2">
      <c r="A67" s="128" t="str">
        <f ca="1">OFFSET(PO!J$12,ROW(A67)-ROW($A$12),0)</f>
        <v>Serviço</v>
      </c>
      <c r="B67" s="130" t="str">
        <f ca="1">IF($A67=0,"",OFFSET(PO!K$12,ROW(B67)-ROW(B$12),0))</f>
        <v>3.5.3.</v>
      </c>
      <c r="C67" s="127" t="str">
        <f ca="1">IF(OFFSET(PO!N$12,ROW(C67)-ROW(C$12),0)=0,"",OFFSET(PO!N$12,ROW(C67)-ROW(C$12),0))</f>
        <v>(COMPOSIÇÃO REPRESENTATIVA) DO SERVIÇO DE INSTALAÇÃO TUBOS DE PVC, SOLDÁVEL, ÁGUA FRIA, DN 32 MM (INSTALADO EM RAMAL, SUB-RAMAL, RAMAL DE DISTRIBUIÇÃO OU PRUMADA), INCLUSIVE CONEXÕES, CORTES E FIXAÇÕES, PARA PRÉDIOS. AF_10/2015</v>
      </c>
      <c r="D67" s="129" t="str">
        <f ca="1">IF(OFFSET(PO!O$12,ROW(D67)-ROW(D$12),0)=0,"",OFFSET(PO!O$12,ROW(D67)-ROW(D$12),0))</f>
        <v>M</v>
      </c>
      <c r="E67" s="165">
        <f ca="1">IF($A67&lt;&gt;"Serviço",0,ROUND(SUMIF($F$9:$P$9,"&lt;&gt;",$F67:$P67),15-13*PO!$X$3))</f>
        <v>92</v>
      </c>
      <c r="F67" s="215">
        <f ca="1">OFFSET(PO!$P$12,ROW($E67)-ROW(F$12),0)</f>
        <v>92</v>
      </c>
      <c r="G67" s="215"/>
      <c r="H67" s="215"/>
      <c r="I67" s="215"/>
      <c r="J67" s="215"/>
      <c r="K67" s="215"/>
      <c r="L67" s="215"/>
      <c r="M67" s="215"/>
      <c r="N67" s="215"/>
      <c r="O67" s="215"/>
      <c r="U67" s="215"/>
    </row>
    <row r="68" spans="1:21" s="4" customFormat="1" ht="63.75" x14ac:dyDescent="0.2">
      <c r="A68" s="128" t="str">
        <f ca="1">OFFSET(PO!J$12,ROW(A68)-ROW($A$12),0)</f>
        <v>Serviço</v>
      </c>
      <c r="B68" s="130" t="str">
        <f ca="1">IF($A68=0,"",OFFSET(PO!K$12,ROW(B68)-ROW(B$12),0))</f>
        <v>3.5.4.</v>
      </c>
      <c r="C68" s="127" t="str">
        <f ca="1">IF(OFFSET(PO!N$12,ROW(C68)-ROW(C$12),0)=0,"",OFFSET(PO!N$12,ROW(C68)-ROW(C$12),0))</f>
        <v>(COMPOSIÇÃO REPRESENTATIVA) DO SERVIÇO DE INSTALAÇÃO DE TUBOS DE PVC, SOLDÁVEL, ÁGUA FRIA, DN 25 MM (INSTALADO EM RAMAL, SUB-RAMAL, RAMAL DE DISTRIBUIÇÃO OU PRUMADA), INCLUSIVE CONEXÕES, CORTES E FIXAÇÕES, PARA PRÉDIOS. AF_10/2015</v>
      </c>
      <c r="D68" s="129" t="str">
        <f ca="1">IF(OFFSET(PO!O$12,ROW(D68)-ROW(D$12),0)=0,"",OFFSET(PO!O$12,ROW(D68)-ROW(D$12),0))</f>
        <v>M</v>
      </c>
      <c r="E68" s="165">
        <f ca="1">IF($A68&lt;&gt;"Serviço",0,ROUND(SUMIF($F$9:$P$9,"&lt;&gt;",$F68:$P68),15-13*PO!$X$3))</f>
        <v>10</v>
      </c>
      <c r="F68" s="215">
        <f ca="1">OFFSET(PO!$P$12,ROW($E68)-ROW(F$12),0)</f>
        <v>10</v>
      </c>
      <c r="G68" s="215"/>
      <c r="H68" s="215"/>
      <c r="I68" s="215"/>
      <c r="J68" s="215"/>
      <c r="K68" s="215"/>
      <c r="L68" s="215"/>
      <c r="M68" s="215"/>
      <c r="N68" s="215"/>
      <c r="O68" s="215"/>
      <c r="U68" s="215"/>
    </row>
    <row r="69" spans="1:21" s="4" customFormat="1" ht="38.25" x14ac:dyDescent="0.2">
      <c r="A69" s="128" t="str">
        <f ca="1">OFFSET(PO!J$12,ROW(A69)-ROW($A$12),0)</f>
        <v>Serviço</v>
      </c>
      <c r="B69" s="130" t="str">
        <f ca="1">IF($A69=0,"",OFFSET(PO!K$12,ROW(B69)-ROW(B$12),0))</f>
        <v>3.5.5.</v>
      </c>
      <c r="C69" s="127" t="str">
        <f ca="1">IF(OFFSET(PO!N$12,ROW(C69)-ROW(C$12),0)=0,"",OFFSET(PO!N$12,ROW(C69)-ROW(C$12),0))</f>
        <v>KIT DE REGISTRO DE GAVETA BRUTO DE LATÃO ¾", INCLUSIVE CONEXÕES, ROSCÁVEL, INSTALADO EM RAMAL DE ÁGUA FRIA - FORNECIMENTO E INSTALAÇÃO. AF_12/2014</v>
      </c>
      <c r="D69" s="129" t="str">
        <f ca="1">IF(OFFSET(PO!O$12,ROW(D69)-ROW(D$12),0)=0,"",OFFSET(PO!O$12,ROW(D69)-ROW(D$12),0))</f>
        <v>UN</v>
      </c>
      <c r="E69" s="165">
        <f ca="1">IF($A69&lt;&gt;"Serviço",0,ROUND(SUMIF($F$9:$P$9,"&lt;&gt;",$F69:$P69),15-13*PO!$X$3))</f>
        <v>6</v>
      </c>
      <c r="F69" s="215">
        <f ca="1">OFFSET(PO!$P$12,ROW($E69)-ROW(F$12),0)</f>
        <v>6</v>
      </c>
      <c r="G69" s="215"/>
      <c r="H69" s="215"/>
      <c r="I69" s="215"/>
      <c r="J69" s="215"/>
      <c r="K69" s="215"/>
      <c r="L69" s="215"/>
      <c r="M69" s="215"/>
      <c r="N69" s="215"/>
      <c r="O69" s="215"/>
      <c r="U69" s="215"/>
    </row>
    <row r="70" spans="1:21" s="4" customFormat="1" ht="38.25" x14ac:dyDescent="0.2">
      <c r="A70" s="128" t="str">
        <f ca="1">OFFSET(PO!J$12,ROW(A70)-ROW($A$12),0)</f>
        <v>Serviço</v>
      </c>
      <c r="B70" s="130" t="str">
        <f ca="1">IF($A70=0,"",OFFSET(PO!K$12,ROW(B70)-ROW(B$12),0))</f>
        <v>3.5.6.</v>
      </c>
      <c r="C70" s="127" t="str">
        <f ca="1">IF(OFFSET(PO!N$12,ROW(C70)-ROW(C$12),0)=0,"",OFFSET(PO!N$12,ROW(C70)-ROW(C$12),0))</f>
        <v>PONTO DE CONSUMO TERMINAL DE ÁGUA FRIA (SUBRAMAL) COM TUBULAÇÃO DE PVC, DN 25 MM, INSTALADO EM RAMAL DE ÁGUA, INCLUSOS RASGO E CHUMBAMENTO EM ALVENARIA</v>
      </c>
      <c r="D70" s="129" t="str">
        <f ca="1">IF(OFFSET(PO!O$12,ROW(D70)-ROW(D$12),0)=0,"",OFFSET(PO!O$12,ROW(D70)-ROW(D$12),0))</f>
        <v>UN</v>
      </c>
      <c r="E70" s="165">
        <f ca="1">IF($A70&lt;&gt;"Serviço",0,ROUND(SUMIF($F$9:$P$9,"&lt;&gt;",$F70:$P70),15-13*PO!$X$3))</f>
        <v>20</v>
      </c>
      <c r="F70" s="215">
        <f ca="1">OFFSET(PO!$P$12,ROW($E70)-ROW(F$12),0)</f>
        <v>20</v>
      </c>
      <c r="G70" s="215"/>
      <c r="H70" s="215"/>
      <c r="I70" s="215"/>
      <c r="J70" s="215"/>
      <c r="K70" s="215"/>
      <c r="L70" s="215"/>
      <c r="M70" s="215"/>
      <c r="N70" s="215"/>
      <c r="O70" s="215"/>
      <c r="U70" s="215"/>
    </row>
    <row r="71" spans="1:21" s="4" customFormat="1" ht="38.25" x14ac:dyDescent="0.2">
      <c r="A71" s="128" t="str">
        <f ca="1">OFFSET(PO!J$12,ROW(A71)-ROW($A$12),0)</f>
        <v>Serviço</v>
      </c>
      <c r="B71" s="130" t="str">
        <f ca="1">IF($A71=0,"",OFFSET(PO!K$12,ROW(B71)-ROW(B$12),0))</f>
        <v>3.5.7.</v>
      </c>
      <c r="C71" s="127" t="str">
        <f ca="1">IF(OFFSET(PO!N$12,ROW(C71)-ROW(C$12),0)=0,"",OFFSET(PO!N$12,ROW(C71)-ROW(C$12),0))</f>
        <v>RALO SIFONADO, PVC, DN 100 X 40 MM, JUNTA SOLDÁVEL, FORNECIDO E INSTALADO EM RAMAL DE DESCARGA OU EM RAMAL DE ESGOTO SANITÁRIO</v>
      </c>
      <c r="D71" s="129" t="str">
        <f ca="1">IF(OFFSET(PO!O$12,ROW(D71)-ROW(D$12),0)=0,"",OFFSET(PO!O$12,ROW(D71)-ROW(D$12),0))</f>
        <v>UN</v>
      </c>
      <c r="E71" s="165">
        <f ca="1">IF($A71&lt;&gt;"Serviço",0,ROUND(SUMIF($F$9:$P$9,"&lt;&gt;",$F71:$P71),15-13*PO!$X$3))</f>
        <v>10</v>
      </c>
      <c r="F71" s="215">
        <f ca="1">OFFSET(PO!$P$12,ROW($E71)-ROW(F$12),0)</f>
        <v>10</v>
      </c>
      <c r="G71" s="215"/>
      <c r="H71" s="215"/>
      <c r="I71" s="215"/>
      <c r="J71" s="215"/>
      <c r="K71" s="215"/>
      <c r="L71" s="215"/>
      <c r="M71" s="215"/>
      <c r="N71" s="215"/>
      <c r="O71" s="215"/>
      <c r="U71" s="215"/>
    </row>
    <row r="72" spans="1:21" s="4" customFormat="1" ht="63.75" x14ac:dyDescent="0.2">
      <c r="A72" s="128" t="str">
        <f ca="1">OFFSET(PO!J$12,ROW(A72)-ROW($A$12),0)</f>
        <v>Serviço</v>
      </c>
      <c r="B72" s="130" t="str">
        <f ca="1">IF($A72=0,"",OFFSET(PO!K$12,ROW(B72)-ROW(B$12),0))</f>
        <v>3.5.8.</v>
      </c>
      <c r="C72" s="127" t="str">
        <f ca="1">IF(OFFSET(PO!N$12,ROW(C72)-ROW(C$12),0)=0,"",OFFSET(PO!N$12,ROW(C72)-ROW(C$12),0))</f>
        <v>(COMPOSIÇÃO REPRESENTATIVA) DO SERVIÇO DE INST. TUBO PVC, SÉRIE N, ESGOTO PREDIAL, 100 MM (INST. RAMAL DESCARGA, RAMAL DE ESG. SANIT., PRUMADA ESG. SANIT., VENTILAÇÃO OU SUB-COLETOR AÉREO), INCL. CONEXÕES E CORTES, FIXAÇÕES, P/ PRÉDIOS. AF_10/2015</v>
      </c>
      <c r="D72" s="129" t="str">
        <f ca="1">IF(OFFSET(PO!O$12,ROW(D72)-ROW(D$12),0)=0,"",OFFSET(PO!O$12,ROW(D72)-ROW(D$12),0))</f>
        <v>M</v>
      </c>
      <c r="E72" s="165">
        <f ca="1">IF($A72&lt;&gt;"Serviço",0,ROUND(SUMIF($F$9:$P$9,"&lt;&gt;",$F72:$P72),15-13*PO!$X$3))</f>
        <v>24</v>
      </c>
      <c r="F72" s="215">
        <f ca="1">OFFSET(PO!$P$12,ROW($E72)-ROW(F$12),0)</f>
        <v>24</v>
      </c>
      <c r="G72" s="215"/>
      <c r="H72" s="215"/>
      <c r="I72" s="215"/>
      <c r="J72" s="215"/>
      <c r="K72" s="215"/>
      <c r="L72" s="215"/>
      <c r="M72" s="215"/>
      <c r="N72" s="215"/>
      <c r="O72" s="215"/>
      <c r="U72" s="215"/>
    </row>
    <row r="73" spans="1:21" s="4" customFormat="1" ht="63.75" x14ac:dyDescent="0.2">
      <c r="A73" s="128" t="str">
        <f ca="1">OFFSET(PO!J$12,ROW(A73)-ROW($A$12),0)</f>
        <v>Serviço</v>
      </c>
      <c r="B73" s="130" t="str">
        <f ca="1">IF($A73=0,"",OFFSET(PO!K$12,ROW(B73)-ROW(B$12),0))</f>
        <v>3.5.9.</v>
      </c>
      <c r="C73" s="127" t="str">
        <f ca="1">IF(OFFSET(PO!N$12,ROW(C73)-ROW(C$12),0)=0,"",OFFSET(PO!N$12,ROW(C73)-ROW(C$12),0))</f>
        <v>(COMPOSIÇÃO REPRESENTATIVA) DO SERVIÇO DE INST. TUBO PVC, SÉRIE N, ESGOTO PREDIAL, DN 75 MM, (INST. EM RAMAL DE DESCARGA, RAMAL DE ESG. SANITÁRIO, PRUMADA DE ESG. SANITÁRIO OU VENTILAÇÃO), INCL. CONEXÕES, CORTES E FIXAÇÕES, P/ PRÉDIOS. AF_10/2015</v>
      </c>
      <c r="D73" s="129" t="str">
        <f ca="1">IF(OFFSET(PO!O$12,ROW(D73)-ROW(D$12),0)=0,"",OFFSET(PO!O$12,ROW(D73)-ROW(D$12),0))</f>
        <v>M</v>
      </c>
      <c r="E73" s="165">
        <f ca="1">IF($A73&lt;&gt;"Serviço",0,ROUND(SUMIF($F$9:$P$9,"&lt;&gt;",$F73:$P73),15-13*PO!$X$3))</f>
        <v>18</v>
      </c>
      <c r="F73" s="215">
        <f ca="1">OFFSET(PO!$P$12,ROW($E73)-ROW(F$12),0)</f>
        <v>18</v>
      </c>
      <c r="G73" s="215"/>
      <c r="H73" s="215"/>
      <c r="I73" s="215"/>
      <c r="J73" s="215"/>
      <c r="K73" s="215"/>
      <c r="L73" s="215"/>
      <c r="M73" s="215"/>
      <c r="N73" s="215"/>
      <c r="O73" s="215"/>
      <c r="U73" s="215"/>
    </row>
    <row r="74" spans="1:21" s="4" customFormat="1" ht="38.25" x14ac:dyDescent="0.2">
      <c r="A74" s="128" t="str">
        <f ca="1">OFFSET(PO!J$12,ROW(A74)-ROW($A$12),0)</f>
        <v>Serviço</v>
      </c>
      <c r="B74" s="130" t="str">
        <f ca="1">IF($A74=0,"",OFFSET(PO!K$12,ROW(B74)-ROW(B$12),0))</f>
        <v>3.5.10.</v>
      </c>
      <c r="C74" s="127" t="str">
        <f ca="1">IF(OFFSET(PO!N$12,ROW(C74)-ROW(C$12),0)=0,"",OFFSET(PO!N$12,ROW(C74)-ROW(C$12),0))</f>
        <v>CAIXA ENTERRADA HIDRÁULICA RETANGULAR EM ALVENARIA COM TIJOLOS CERÂMICOS MACIÇOS, DIMENSÕES INTERNAS: 0,4X0,4X0,4 M PARA REDE DE ESGOTO. AF_05/2018</v>
      </c>
      <c r="D74" s="129" t="str">
        <f ca="1">IF(OFFSET(PO!O$12,ROW(D74)-ROW(D$12),0)=0,"",OFFSET(PO!O$12,ROW(D74)-ROW(D$12),0))</f>
        <v>UN</v>
      </c>
      <c r="E74" s="165">
        <f ca="1">IF($A74&lt;&gt;"Serviço",0,ROUND(SUMIF($F$9:$P$9,"&lt;&gt;",$F74:$P74),15-13*PO!$X$3))</f>
        <v>5</v>
      </c>
      <c r="F74" s="215">
        <f ca="1">OFFSET(PO!$P$12,ROW($E74)-ROW(F$12),0)</f>
        <v>5</v>
      </c>
      <c r="G74" s="215"/>
      <c r="H74" s="215"/>
      <c r="I74" s="215"/>
      <c r="J74" s="215"/>
      <c r="K74" s="215"/>
      <c r="L74" s="215"/>
      <c r="M74" s="215"/>
      <c r="N74" s="215"/>
      <c r="O74" s="215"/>
      <c r="U74" s="215"/>
    </row>
    <row r="75" spans="1:21" s="4" customFormat="1" ht="38.25" x14ac:dyDescent="0.2">
      <c r="A75" s="128" t="str">
        <f ca="1">OFFSET(PO!J$12,ROW(A75)-ROW($A$12),0)</f>
        <v>Serviço</v>
      </c>
      <c r="B75" s="130" t="str">
        <f ca="1">IF($A75=0,"",OFFSET(PO!K$12,ROW(B75)-ROW(B$12),0))</f>
        <v>3.5.11.</v>
      </c>
      <c r="C75" s="127" t="str">
        <f ca="1">IF(OFFSET(PO!N$12,ROW(C75)-ROW(C$12),0)=0,"",OFFSET(PO!N$12,ROW(C75)-ROW(C$12),0))</f>
        <v>TANQUE SÉPTICO CIRCULAR, EM CONCRETO PRÉ-MOLDADO, DIÂMETRO INTERNO = 2,38 M, ALTURA INTERNA = 2,50 M, VOLUME ÚTIL: 10009,8 L (PARA 69 CONTRIBUINTES). AF_05/2018</v>
      </c>
      <c r="D75" s="129" t="str">
        <f ca="1">IF(OFFSET(PO!O$12,ROW(D75)-ROW(D$12),0)=0,"",OFFSET(PO!O$12,ROW(D75)-ROW(D$12),0))</f>
        <v>UN</v>
      </c>
      <c r="E75" s="165">
        <f ca="1">IF($A75&lt;&gt;"Serviço",0,ROUND(SUMIF($F$9:$P$9,"&lt;&gt;",$F75:$P75),15-13*PO!$X$3))</f>
        <v>1</v>
      </c>
      <c r="F75" s="215">
        <f ca="1">OFFSET(PO!$P$12,ROW($E75)-ROW(F$12),0)</f>
        <v>1</v>
      </c>
      <c r="G75" s="215"/>
      <c r="H75" s="215"/>
      <c r="I75" s="215"/>
      <c r="J75" s="215"/>
      <c r="K75" s="215"/>
      <c r="L75" s="215"/>
      <c r="M75" s="215"/>
      <c r="N75" s="215"/>
      <c r="O75" s="215"/>
      <c r="U75" s="215"/>
    </row>
    <row r="76" spans="1:21" s="4" customFormat="1" ht="51" x14ac:dyDescent="0.2">
      <c r="A76" s="128" t="str">
        <f ca="1">OFFSET(PO!J$12,ROW(A76)-ROW($A$12),0)</f>
        <v>Serviço</v>
      </c>
      <c r="B76" s="130" t="str">
        <f ca="1">IF($A76=0,"",OFFSET(PO!K$12,ROW(B76)-ROW(B$12),0))</f>
        <v>3.5.12.</v>
      </c>
      <c r="C76" s="127" t="str">
        <f ca="1">IF(OFFSET(PO!N$12,ROW(C76)-ROW(C$12),0)=0,"",OFFSET(PO!N$12,ROW(C76)-ROW(C$12),0))</f>
        <v>FILTRO ANAERÓBIO RETANGULAR, EM ALVENARIA COM BLOCOS DE CONCRETO, DIMENSÕES INTERNAS: 1,6 X 4,6 X 1,67 M, VOLUME ÚTIL: 8832 L (PARA 84 CONTRIBUINTES). AF_05/2018</v>
      </c>
      <c r="D76" s="129" t="str">
        <f ca="1">IF(OFFSET(PO!O$12,ROW(D76)-ROW(D$12),0)=0,"",OFFSET(PO!O$12,ROW(D76)-ROW(D$12),0))</f>
        <v>UN</v>
      </c>
      <c r="E76" s="165">
        <f ca="1">IF($A76&lt;&gt;"Serviço",0,ROUND(SUMIF($F$9:$P$9,"&lt;&gt;",$F76:$P76),15-13*PO!$X$3))</f>
        <v>1</v>
      </c>
      <c r="F76" s="215">
        <f ca="1">OFFSET(PO!$P$12,ROW($E76)-ROW(F$12),0)</f>
        <v>1</v>
      </c>
      <c r="G76" s="215"/>
      <c r="H76" s="215"/>
      <c r="I76" s="215"/>
      <c r="J76" s="215"/>
      <c r="K76" s="215"/>
      <c r="L76" s="215"/>
      <c r="M76" s="215"/>
      <c r="N76" s="215"/>
      <c r="O76" s="215"/>
      <c r="U76" s="215"/>
    </row>
    <row r="77" spans="1:21" s="4" customFormat="1" ht="25.5" x14ac:dyDescent="0.2">
      <c r="A77" s="128" t="str">
        <f ca="1">OFFSET(PO!J$12,ROW(A77)-ROW($A$12),0)</f>
        <v>Serviço</v>
      </c>
      <c r="B77" s="130" t="str">
        <f ca="1">IF($A77=0,"",OFFSET(PO!K$12,ROW(B77)-ROW(B$12),0))</f>
        <v>3.5.13.</v>
      </c>
      <c r="C77" s="127" t="str">
        <f ca="1">IF(OFFSET(PO!N$12,ROW(C77)-ROW(C$12),0)=0,"",OFFSET(PO!N$12,ROW(C77)-ROW(C$12),0))</f>
        <v>CAIXA D'AGUA FIBRA DE VIDRO PARA 7500 LITROS, COM TAMPA</v>
      </c>
      <c r="D77" s="129" t="str">
        <f ca="1">IF(OFFSET(PO!O$12,ROW(D77)-ROW(D$12),0)=0,"",OFFSET(PO!O$12,ROW(D77)-ROW(D$12),0))</f>
        <v>UN</v>
      </c>
      <c r="E77" s="165">
        <f ca="1">IF($A77&lt;&gt;"Serviço",0,ROUND(SUMIF($F$9:$P$9,"&lt;&gt;",$F77:$P77),15-13*PO!$X$3))</f>
        <v>2</v>
      </c>
      <c r="F77" s="215">
        <f ca="1">OFFSET(PO!$P$12,ROW($E77)-ROW(F$12),0)</f>
        <v>2</v>
      </c>
      <c r="G77" s="215"/>
      <c r="H77" s="215"/>
      <c r="I77" s="215"/>
      <c r="J77" s="215"/>
      <c r="K77" s="215"/>
      <c r="L77" s="215"/>
      <c r="M77" s="215"/>
      <c r="N77" s="215"/>
      <c r="O77" s="215"/>
      <c r="U77" s="215"/>
    </row>
    <row r="78" spans="1:21" s="4" customFormat="1" ht="51" x14ac:dyDescent="0.2">
      <c r="A78" s="128" t="str">
        <f ca="1">OFFSET(PO!J$12,ROW(A78)-ROW($A$12),0)</f>
        <v>Serviço</v>
      </c>
      <c r="B78" s="130" t="str">
        <f ca="1">IF($A78=0,"",OFFSET(PO!K$12,ROW(B78)-ROW(B$12),0))</f>
        <v>3.5.14.</v>
      </c>
      <c r="C78" s="127" t="str">
        <f ca="1">IF(OFFSET(PO!N$12,ROW(C78)-ROW(C$12),0)=0,"",OFFSET(PO!N$12,ROW(C78)-ROW(C$12),0))</f>
        <v>(COMPOSIÇÃO REPRESENTATIVA) DO SERVIÇO DE INSTALAÇÃO DE TUBOS DE PVC, SOLDÁVEL, ÁGUA FRIA, DN 50 MM (INSTALADO EM PRUMADA), INCLUSIVE CONEXÕES, CORTES E FIXAÇÕES, PARA PRÉDIOS. AF_10/2015</v>
      </c>
      <c r="D78" s="129" t="str">
        <f ca="1">IF(OFFSET(PO!O$12,ROW(D78)-ROW(D$12),0)=0,"",OFFSET(PO!O$12,ROW(D78)-ROW(D$12),0))</f>
        <v>M</v>
      </c>
      <c r="E78" s="165">
        <f ca="1">IF($A78&lt;&gt;"Serviço",0,ROUND(SUMIF($F$9:$P$9,"&lt;&gt;",$F78:$P78),15-13*PO!$X$3))</f>
        <v>26</v>
      </c>
      <c r="F78" s="215">
        <f ca="1">OFFSET(PO!$P$12,ROW($E78)-ROW(F$12),0)</f>
        <v>26</v>
      </c>
      <c r="G78" s="215"/>
      <c r="H78" s="215"/>
      <c r="I78" s="215"/>
      <c r="J78" s="215"/>
      <c r="K78" s="215"/>
      <c r="L78" s="215"/>
      <c r="M78" s="215"/>
      <c r="N78" s="215"/>
      <c r="O78" s="215"/>
      <c r="U78" s="215"/>
    </row>
    <row r="79" spans="1:21" s="4" customFormat="1" ht="51" x14ac:dyDescent="0.2">
      <c r="A79" s="128" t="str">
        <f ca="1">OFFSET(PO!J$12,ROW(A79)-ROW($A$12),0)</f>
        <v>Serviço</v>
      </c>
      <c r="B79" s="130" t="str">
        <f ca="1">IF($A79=0,"",OFFSET(PO!K$12,ROW(B79)-ROW(B$12),0))</f>
        <v>3.5.15.</v>
      </c>
      <c r="C79" s="127" t="str">
        <f ca="1">IF(OFFSET(PO!N$12,ROW(C79)-ROW(C$12),0)=0,"",OFFSET(PO!N$12,ROW(C79)-ROW(C$12),0))</f>
        <v>REGISTRO DE ESFERA, PVC, SOLDÁVEL, DN  50 MM, INSTALADO EM RESERVAÇÃO DE ÁGUA DE EDIFICAÇÃO QUE POSSUA RESERVATÓRIO DE FIBRA/FIBROCIMENTO   FORNECIMENTO E INSTALAÇÃO. AF_06/2016</v>
      </c>
      <c r="D79" s="129" t="str">
        <f ca="1">IF(OFFSET(PO!O$12,ROW(D79)-ROW(D$12),0)=0,"",OFFSET(PO!O$12,ROW(D79)-ROW(D$12),0))</f>
        <v>UN</v>
      </c>
      <c r="E79" s="165">
        <f ca="1">IF($A79&lt;&gt;"Serviço",0,ROUND(SUMIF($F$9:$P$9,"&lt;&gt;",$F79:$P79),15-13*PO!$X$3))</f>
        <v>2</v>
      </c>
      <c r="F79" s="215">
        <f ca="1">OFFSET(PO!$P$12,ROW($E79)-ROW(F$12),0)</f>
        <v>2</v>
      </c>
      <c r="G79" s="215"/>
      <c r="H79" s="215"/>
      <c r="I79" s="215"/>
      <c r="J79" s="215"/>
      <c r="K79" s="215"/>
      <c r="L79" s="215"/>
      <c r="M79" s="215"/>
      <c r="N79" s="215"/>
      <c r="O79" s="215"/>
      <c r="U79" s="215"/>
    </row>
    <row r="80" spans="1:21" s="4" customFormat="1" x14ac:dyDescent="0.2">
      <c r="A80" s="128" t="str">
        <f ca="1">OFFSET(PO!J$12,ROW(A80)-ROW($A$12),0)</f>
        <v>Meta</v>
      </c>
      <c r="B80" s="130" t="str">
        <f ca="1">IF($A80=0,"",OFFSET(PO!K$12,ROW(B80)-ROW(B$12),0))</f>
        <v>4.</v>
      </c>
      <c r="C80" s="127" t="str">
        <f ca="1">IF(OFFSET(PO!N$12,ROW(C80)-ROW(C$12),0)=0,"",OFFSET(PO!N$12,ROW(C80)-ROW(C$12),0))</f>
        <v>SEGUNDO PAVIMENTO - BANHEIROS</v>
      </c>
      <c r="D80" s="129" t="str">
        <f ca="1">IF(OFFSET(PO!O$12,ROW(D80)-ROW(D$12),0)=0,"",OFFSET(PO!O$12,ROW(D80)-ROW(D$12),0))</f>
        <v/>
      </c>
      <c r="E80" s="165">
        <f ca="1">IF($A80&lt;&gt;"Serviço",0,ROUND(SUMIF($F$9:$P$9,"&lt;&gt;",$F80:$P80),15-13*PO!$X$3))</f>
        <v>0</v>
      </c>
      <c r="F80" s="215">
        <f ca="1">OFFSET(PO!$P$12,ROW($E80)-ROW(F$12),0)</f>
        <v>0</v>
      </c>
      <c r="G80" s="215"/>
      <c r="H80" s="215"/>
      <c r="I80" s="215"/>
      <c r="J80" s="215"/>
      <c r="K80" s="215"/>
      <c r="L80" s="215"/>
      <c r="M80" s="215"/>
      <c r="N80" s="215"/>
      <c r="O80" s="215"/>
      <c r="U80" s="215"/>
    </row>
    <row r="81" spans="1:21" s="4" customFormat="1" x14ac:dyDescent="0.2">
      <c r="A81" s="128" t="str">
        <f ca="1">OFFSET(PO!J$12,ROW(A81)-ROW($A$12),0)</f>
        <v>Nível 2</v>
      </c>
      <c r="B81" s="130" t="str">
        <f ca="1">IF($A81=0,"",OFFSET(PO!K$12,ROW(B81)-ROW(B$12),0))</f>
        <v>4.1.</v>
      </c>
      <c r="C81" s="127" t="str">
        <f ca="1">IF(OFFSET(PO!N$12,ROW(C81)-ROW(C$12),0)=0,"",OFFSET(PO!N$12,ROW(C81)-ROW(C$12),0))</f>
        <v>PAVIMENTAÇÃO</v>
      </c>
      <c r="D81" s="129" t="str">
        <f ca="1">IF(OFFSET(PO!O$12,ROW(D81)-ROW(D$12),0)=0,"",OFFSET(PO!O$12,ROW(D81)-ROW(D$12),0))</f>
        <v/>
      </c>
      <c r="E81" s="165">
        <f ca="1">IF($A81&lt;&gt;"Serviço",0,ROUND(SUMIF($F$9:$P$9,"&lt;&gt;",$F81:$P81),15-13*PO!$X$3))</f>
        <v>0</v>
      </c>
      <c r="F81" s="215">
        <f ca="1">OFFSET(PO!$P$12,ROW($E81)-ROW(F$12),0)</f>
        <v>0</v>
      </c>
      <c r="G81" s="215"/>
      <c r="H81" s="215"/>
      <c r="I81" s="215"/>
      <c r="J81" s="215"/>
      <c r="K81" s="215"/>
      <c r="L81" s="215"/>
      <c r="M81" s="215"/>
      <c r="N81" s="215"/>
      <c r="O81" s="215"/>
      <c r="U81" s="215"/>
    </row>
    <row r="82" spans="1:21" s="4" customFormat="1" ht="38.25" x14ac:dyDescent="0.2">
      <c r="A82" s="128" t="str">
        <f ca="1">OFFSET(PO!J$12,ROW(A82)-ROW($A$12),0)</f>
        <v>Serviço</v>
      </c>
      <c r="B82" s="130" t="str">
        <f ca="1">IF($A82=0,"",OFFSET(PO!K$12,ROW(B82)-ROW(B$12),0))</f>
        <v>4.1.1.</v>
      </c>
      <c r="C82" s="127" t="str">
        <f ca="1">IF(OFFSET(PO!N$12,ROW(C82)-ROW(C$12),0)=0,"",OFFSET(PO!N$12,ROW(C82)-ROW(C$12),0))</f>
        <v>IMPERMEABILIZAÇÃO DE SUPERFÍCIE COM MANTA ASFÁLTICA, UMA CAMADA, INCLUSIVE APLICAÇÃO DE PRIMER ASFÁLTICO, E=3MM</v>
      </c>
      <c r="D82" s="129" t="str">
        <f ca="1">IF(OFFSET(PO!O$12,ROW(D82)-ROW(D$12),0)=0,"",OFFSET(PO!O$12,ROW(D82)-ROW(D$12),0))</f>
        <v>M2</v>
      </c>
      <c r="E82" s="165">
        <f ca="1">IF($A82&lt;&gt;"Serviço",0,ROUND(SUMIF($F$9:$P$9,"&lt;&gt;",$F82:$P82),15-13*PO!$X$3))</f>
        <v>57.78</v>
      </c>
      <c r="F82" s="215">
        <f ca="1">OFFSET(PO!$P$12,ROW($E82)-ROW(F$12),0)</f>
        <v>57.78</v>
      </c>
      <c r="G82" s="215"/>
      <c r="H82" s="215"/>
      <c r="I82" s="215"/>
      <c r="J82" s="215"/>
      <c r="K82" s="215"/>
      <c r="L82" s="215"/>
      <c r="M82" s="215"/>
      <c r="N82" s="215"/>
      <c r="O82" s="215"/>
      <c r="U82" s="215"/>
    </row>
    <row r="83" spans="1:21" s="4" customFormat="1" ht="51" x14ac:dyDescent="0.2">
      <c r="A83" s="128" t="str">
        <f ca="1">OFFSET(PO!J$12,ROW(A83)-ROW($A$12),0)</f>
        <v>Serviço</v>
      </c>
      <c r="B83" s="130" t="str">
        <f ca="1">IF($A83=0,"",OFFSET(PO!K$12,ROW(B83)-ROW(B$12),0))</f>
        <v>4.1.2.</v>
      </c>
      <c r="C83" s="127" t="str">
        <f ca="1">IF(OFFSET(PO!N$12,ROW(C83)-ROW(C$12),0)=0,"",OFFSET(PO!N$12,ROW(C83)-ROW(C$12),0))</f>
        <v>CONTRAPISO EM ARGAMASSA TRAÇO 1:4 (CIMENTO E AREIA), PREPARO MECÂNICO COM BETONEIRA 400 L, APLICADO EM ÁREAS MOLHADAS SOBRE IMPERMEABILIZAÇÃO, ESPESSURA 4CM</v>
      </c>
      <c r="D83" s="129" t="str">
        <f ca="1">IF(OFFSET(PO!O$12,ROW(D83)-ROW(D$12),0)=0,"",OFFSET(PO!O$12,ROW(D83)-ROW(D$12),0))</f>
        <v>M2</v>
      </c>
      <c r="E83" s="165">
        <f ca="1">IF($A83&lt;&gt;"Serviço",0,ROUND(SUMIF($F$9:$P$9,"&lt;&gt;",$F83:$P83),15-13*PO!$X$3))</f>
        <v>67.08</v>
      </c>
      <c r="F83" s="215">
        <f ca="1">OFFSET(PO!$P$12,ROW($E83)-ROW(F$12),0)</f>
        <v>67.08</v>
      </c>
      <c r="G83" s="215"/>
      <c r="H83" s="215"/>
      <c r="I83" s="215"/>
      <c r="J83" s="215"/>
      <c r="K83" s="215"/>
      <c r="L83" s="215"/>
      <c r="M83" s="215"/>
      <c r="N83" s="215"/>
      <c r="O83" s="215"/>
      <c r="U83" s="215"/>
    </row>
    <row r="84" spans="1:21" s="4" customFormat="1" ht="25.5" x14ac:dyDescent="0.2">
      <c r="A84" s="128" t="str">
        <f ca="1">OFFSET(PO!J$12,ROW(A84)-ROW($A$12),0)</f>
        <v>Serviço</v>
      </c>
      <c r="B84" s="130" t="str">
        <f ca="1">IF($A84=0,"",OFFSET(PO!K$12,ROW(B84)-ROW(B$12),0))</f>
        <v>4.1.3.</v>
      </c>
      <c r="C84" s="127" t="str">
        <f ca="1">IF(OFFSET(PO!N$12,ROW(C84)-ROW(C$12),0)=0,"",OFFSET(PO!N$12,ROW(C84)-ROW(C$12),0))</f>
        <v>REVESTIMENTO CERÂMICO PARA PISO COM PLACAS TIPO PORCELANATO DE DIMENSÕES 45X45 CM</v>
      </c>
      <c r="D84" s="129" t="str">
        <f ca="1">IF(OFFSET(PO!O$12,ROW(D84)-ROW(D$12),0)=0,"",OFFSET(PO!O$12,ROW(D84)-ROW(D$12),0))</f>
        <v>M2</v>
      </c>
      <c r="E84" s="165">
        <f ca="1">IF($A84&lt;&gt;"Serviço",0,ROUND(SUMIF($F$9:$P$9,"&lt;&gt;",$F84:$P84),15-13*PO!$X$3))</f>
        <v>67.08</v>
      </c>
      <c r="F84" s="215">
        <f ca="1">OFFSET(PO!$P$12,ROW($E84)-ROW(F$12),0)</f>
        <v>67.08</v>
      </c>
      <c r="G84" s="215"/>
      <c r="H84" s="215"/>
      <c r="I84" s="215"/>
      <c r="J84" s="215"/>
      <c r="K84" s="215"/>
      <c r="L84" s="215"/>
      <c r="M84" s="215"/>
      <c r="N84" s="215"/>
      <c r="O84" s="215"/>
      <c r="U84" s="215"/>
    </row>
    <row r="85" spans="1:21" s="4" customFormat="1" ht="25.5" x14ac:dyDescent="0.2">
      <c r="A85" s="128" t="str">
        <f ca="1">OFFSET(PO!J$12,ROW(A85)-ROW($A$12),0)</f>
        <v>Serviço</v>
      </c>
      <c r="B85" s="130" t="str">
        <f ca="1">IF($A85=0,"",OFFSET(PO!K$12,ROW(B85)-ROW(B$12),0))</f>
        <v>4.1.4.</v>
      </c>
      <c r="C85" s="127" t="str">
        <f ca="1">IF(OFFSET(PO!N$12,ROW(C85)-ROW(C$12),0)=0,"",OFFSET(PO!N$12,ROW(C85)-ROW(C$12),0))</f>
        <v>EXECUÇÃO DE ESCADA EM CONCRETO ARMADO, MOLDADA IN LOCO, FCK = 25 MPA</v>
      </c>
      <c r="D85" s="129" t="str">
        <f ca="1">IF(OFFSET(PO!O$12,ROW(D85)-ROW(D$12),0)=0,"",OFFSET(PO!O$12,ROW(D85)-ROW(D$12),0))</f>
        <v>M3</v>
      </c>
      <c r="E85" s="165">
        <f ca="1">IF($A85&lt;&gt;"Serviço",0,ROUND(SUMIF($F$9:$P$9,"&lt;&gt;",$F85:$P85),15-13*PO!$X$3))</f>
        <v>2</v>
      </c>
      <c r="F85" s="215">
        <f ca="1">OFFSET(PO!$P$12,ROW($E85)-ROW(F$12),0)</f>
        <v>2</v>
      </c>
      <c r="G85" s="215"/>
      <c r="H85" s="215"/>
      <c r="I85" s="215"/>
      <c r="J85" s="215"/>
      <c r="K85" s="215"/>
      <c r="L85" s="215"/>
      <c r="M85" s="215"/>
      <c r="N85" s="215"/>
      <c r="O85" s="215"/>
      <c r="U85" s="215"/>
    </row>
    <row r="86" spans="1:21" s="4" customFormat="1" ht="25.5" x14ac:dyDescent="0.2">
      <c r="A86" s="128" t="str">
        <f ca="1">OFFSET(PO!J$12,ROW(A86)-ROW($A$12),0)</f>
        <v>Serviço</v>
      </c>
      <c r="B86" s="130" t="str">
        <f ca="1">IF($A86=0,"",OFFSET(PO!K$12,ROW(B86)-ROW(B$12),0))</f>
        <v>4.1.5.</v>
      </c>
      <c r="C86" s="127" t="str">
        <f ca="1">IF(OFFSET(PO!N$12,ROW(C86)-ROW(C$12),0)=0,"",OFFSET(PO!N$12,ROW(C86)-ROW(C$12),0))</f>
        <v>EXECUÇÃO DE RAMPA EM CONCRETO ARMADO, MOLDADA IN LOCO, FCK = 25 MPA</v>
      </c>
      <c r="D86" s="129" t="str">
        <f ca="1">IF(OFFSET(PO!O$12,ROW(D86)-ROW(D$12),0)=0,"",OFFSET(PO!O$12,ROW(D86)-ROW(D$12),0))</f>
        <v>M3</v>
      </c>
      <c r="E86" s="165">
        <f ca="1">IF($A86&lt;&gt;"Serviço",0,ROUND(SUMIF($F$9:$P$9,"&lt;&gt;",$F86:$P86),15-13*PO!$X$3))</f>
        <v>3.85</v>
      </c>
      <c r="F86" s="215">
        <f ca="1">OFFSET(PO!$P$12,ROW($E86)-ROW(F$12),0)</f>
        <v>3.85</v>
      </c>
      <c r="G86" s="215"/>
      <c r="H86" s="215"/>
      <c r="I86" s="215"/>
      <c r="J86" s="215"/>
      <c r="K86" s="215"/>
      <c r="L86" s="215"/>
      <c r="M86" s="215"/>
      <c r="N86" s="215"/>
      <c r="O86" s="215"/>
      <c r="U86" s="215"/>
    </row>
    <row r="87" spans="1:21" s="4" customFormat="1" x14ac:dyDescent="0.2">
      <c r="A87" s="128" t="str">
        <f ca="1">OFFSET(PO!J$12,ROW(A87)-ROW($A$12),0)</f>
        <v>Nível 2</v>
      </c>
      <c r="B87" s="130" t="str">
        <f ca="1">IF($A87=0,"",OFFSET(PO!K$12,ROW(B87)-ROW(B$12),0))</f>
        <v>4.2.</v>
      </c>
      <c r="C87" s="127" t="str">
        <f ca="1">IF(OFFSET(PO!N$12,ROW(C87)-ROW(C$12),0)=0,"",OFFSET(PO!N$12,ROW(C87)-ROW(C$12),0))</f>
        <v>REVESTIMENTOS INTERNOS</v>
      </c>
      <c r="D87" s="129" t="str">
        <f ca="1">IF(OFFSET(PO!O$12,ROW(D87)-ROW(D$12),0)=0,"",OFFSET(PO!O$12,ROW(D87)-ROW(D$12),0))</f>
        <v/>
      </c>
      <c r="E87" s="165">
        <f ca="1">IF($A87&lt;&gt;"Serviço",0,ROUND(SUMIF($F$9:$P$9,"&lt;&gt;",$F87:$P87),15-13*PO!$X$3))</f>
        <v>0</v>
      </c>
      <c r="F87" s="215">
        <f ca="1">OFFSET(PO!$P$12,ROW($E87)-ROW(F$12),0)</f>
        <v>0</v>
      </c>
      <c r="G87" s="215"/>
      <c r="H87" s="215"/>
      <c r="I87" s="215"/>
      <c r="J87" s="215"/>
      <c r="K87" s="215"/>
      <c r="L87" s="215"/>
      <c r="M87" s="215"/>
      <c r="N87" s="215"/>
      <c r="O87" s="215"/>
      <c r="U87" s="215"/>
    </row>
    <row r="88" spans="1:21" s="4" customFormat="1" ht="25.5" x14ac:dyDescent="0.2">
      <c r="A88" s="128" t="str">
        <f ca="1">OFFSET(PO!J$12,ROW(A88)-ROW($A$12),0)</f>
        <v>Serviço</v>
      </c>
      <c r="B88" s="130" t="str">
        <f ca="1">IF($A88=0,"",OFFSET(PO!K$12,ROW(B88)-ROW(B$12),0))</f>
        <v>4.2.1.</v>
      </c>
      <c r="C88" s="127" t="str">
        <f ca="1">IF(OFFSET(PO!N$12,ROW(C88)-ROW(C$12),0)=0,"",OFFSET(PO!N$12,ROW(C88)-ROW(C$12),0))</f>
        <v>CHAPISCO APLICADO EM ALVENARIAS E ESTRUTURAS DE CONCRETO INTERNAS, ARGAMASSA TRAÇO 1:3</v>
      </c>
      <c r="D88" s="129" t="str">
        <f ca="1">IF(OFFSET(PO!O$12,ROW(D88)-ROW(D$12),0)=0,"",OFFSET(PO!O$12,ROW(D88)-ROW(D$12),0))</f>
        <v>M2</v>
      </c>
      <c r="E88" s="165">
        <f ca="1">IF($A88&lt;&gt;"Serviço",0,ROUND(SUMIF($F$9:$P$9,"&lt;&gt;",$F88:$P88),15-13*PO!$X$3))</f>
        <v>215.65</v>
      </c>
      <c r="F88" s="215">
        <f ca="1">OFFSET(PO!$P$12,ROW($E88)-ROW(F$12),0)</f>
        <v>215.65</v>
      </c>
      <c r="G88" s="215"/>
      <c r="H88" s="215"/>
      <c r="I88" s="215"/>
      <c r="J88" s="215"/>
      <c r="K88" s="215"/>
      <c r="L88" s="215"/>
      <c r="M88" s="215"/>
      <c r="N88" s="215"/>
      <c r="O88" s="215"/>
      <c r="U88" s="215"/>
    </row>
    <row r="89" spans="1:21" s="4" customFormat="1" ht="63.75" x14ac:dyDescent="0.2">
      <c r="A89" s="128" t="str">
        <f ca="1">OFFSET(PO!J$12,ROW(A89)-ROW($A$12),0)</f>
        <v>Serviço</v>
      </c>
      <c r="B89" s="130" t="str">
        <f ca="1">IF($A89=0,"",OFFSET(PO!K$12,ROW(B89)-ROW(B$12),0))</f>
        <v>4.2.2.</v>
      </c>
      <c r="C89" s="127" t="str">
        <f ca="1">IF(OFFSET(PO!N$12,ROW(C89)-ROW(C$12),0)=0,"",OFFSET(PO!N$12,ROW(C89)-ROW(C$12),0))</f>
        <v>EMBOÇO, EM ARGAMASSA TRAÇO 1:2:8, PREPARO MECÂNICO COM BETONEIRA 400L, APLICADO MANUALMENTE EM FACES INTERNAS DE PAREDES, PARA AMBIENTE COM ÁREA  MAIOR QUE 10M2, ESPESSURA DE 20MM, COM EXECUÇÃO DE TALISCAS. AF_06/2014</v>
      </c>
      <c r="D89" s="129" t="str">
        <f ca="1">IF(OFFSET(PO!O$12,ROW(D89)-ROW(D$12),0)=0,"",OFFSET(PO!O$12,ROW(D89)-ROW(D$12),0))</f>
        <v>M2</v>
      </c>
      <c r="E89" s="165">
        <f ca="1">IF($A89&lt;&gt;"Serviço",0,ROUND(SUMIF($F$9:$P$9,"&lt;&gt;",$F89:$P89),15-13*PO!$X$3))</f>
        <v>215.65</v>
      </c>
      <c r="F89" s="215">
        <f ca="1">OFFSET(PO!$P$12,ROW($E89)-ROW(F$12),0)</f>
        <v>215.65</v>
      </c>
      <c r="G89" s="215"/>
      <c r="H89" s="215"/>
      <c r="I89" s="215"/>
      <c r="J89" s="215"/>
      <c r="K89" s="215"/>
      <c r="L89" s="215"/>
      <c r="M89" s="215"/>
      <c r="N89" s="215"/>
      <c r="O89" s="215"/>
      <c r="U89" s="215"/>
    </row>
    <row r="90" spans="1:21" s="4" customFormat="1" ht="38.25" x14ac:dyDescent="0.2">
      <c r="A90" s="128" t="str">
        <f ca="1">OFFSET(PO!J$12,ROW(A90)-ROW($A$12),0)</f>
        <v>Serviço</v>
      </c>
      <c r="B90" s="130" t="str">
        <f ca="1">IF($A90=0,"",OFFSET(PO!K$12,ROW(B90)-ROW(B$12),0))</f>
        <v>4.2.3.</v>
      </c>
      <c r="C90" s="127" t="str">
        <f ca="1">IF(OFFSET(PO!N$12,ROW(C90)-ROW(C$12),0)=0,"",OFFSET(PO!N$12,ROW(C90)-ROW(C$12),0))</f>
        <v>REVESTIMENTO CERÂMICO PARA PAREDES INTERNAS COM PLACAS TIPO ESMALTADA EXTRA DE DIMENSÕES 33X45 CM NA ALTURA INTEIRA DAS PAREDES.</v>
      </c>
      <c r="D90" s="129" t="str">
        <f ca="1">IF(OFFSET(PO!O$12,ROW(D90)-ROW(D$12),0)=0,"",OFFSET(PO!O$12,ROW(D90)-ROW(D$12),0))</f>
        <v>M2</v>
      </c>
      <c r="E90" s="165">
        <f ca="1">IF($A90&lt;&gt;"Serviço",0,ROUND(SUMIF($F$9:$P$9,"&lt;&gt;",$F90:$P90),15-13*PO!$X$3))</f>
        <v>215.65</v>
      </c>
      <c r="F90" s="215">
        <f ca="1">OFFSET(PO!$P$12,ROW($E90)-ROW(F$12),0)</f>
        <v>215.65</v>
      </c>
      <c r="G90" s="215"/>
      <c r="H90" s="215"/>
      <c r="I90" s="215"/>
      <c r="J90" s="215"/>
      <c r="K90" s="215"/>
      <c r="L90" s="215"/>
      <c r="M90" s="215"/>
      <c r="N90" s="215"/>
      <c r="O90" s="215"/>
      <c r="U90" s="215"/>
    </row>
    <row r="91" spans="1:21" s="4" customFormat="1" x14ac:dyDescent="0.2">
      <c r="A91" s="128" t="str">
        <f ca="1">OFFSET(PO!J$12,ROW(A91)-ROW($A$12),0)</f>
        <v>Nível 2</v>
      </c>
      <c r="B91" s="130" t="str">
        <f ca="1">IF($A91=0,"",OFFSET(PO!K$12,ROW(B91)-ROW(B$12),0))</f>
        <v>4.3.</v>
      </c>
      <c r="C91" s="127" t="str">
        <f ca="1">IF(OFFSET(PO!N$12,ROW(C91)-ROW(C$12),0)=0,"",OFFSET(PO!N$12,ROW(C91)-ROW(C$12),0))</f>
        <v>ESQUADRIAS E DIVISÓRIAS</v>
      </c>
      <c r="D91" s="129" t="str">
        <f ca="1">IF(OFFSET(PO!O$12,ROW(D91)-ROW(D$12),0)=0,"",OFFSET(PO!O$12,ROW(D91)-ROW(D$12),0))</f>
        <v/>
      </c>
      <c r="E91" s="165">
        <f ca="1">IF($A91&lt;&gt;"Serviço",0,ROUND(SUMIF($F$9:$P$9,"&lt;&gt;",$F91:$P91),15-13*PO!$X$3))</f>
        <v>0</v>
      </c>
      <c r="F91" s="215">
        <f ca="1">OFFSET(PO!$P$12,ROW($E91)-ROW(F$12),0)</f>
        <v>0</v>
      </c>
      <c r="G91" s="215"/>
      <c r="H91" s="215"/>
      <c r="I91" s="215"/>
      <c r="J91" s="215"/>
      <c r="K91" s="215"/>
      <c r="L91" s="215"/>
      <c r="M91" s="215"/>
      <c r="N91" s="215"/>
      <c r="O91" s="215"/>
      <c r="U91" s="215"/>
    </row>
    <row r="92" spans="1:21" s="4" customFormat="1" ht="38.25" x14ac:dyDescent="0.2">
      <c r="A92" s="128" t="str">
        <f ca="1">OFFSET(PO!J$12,ROW(A92)-ROW($A$12),0)</f>
        <v>Serviço</v>
      </c>
      <c r="B92" s="130" t="str">
        <f ca="1">IF($A92=0,"",OFFSET(PO!K$12,ROW(B92)-ROW(B$12),0))</f>
        <v>4.3.1.</v>
      </c>
      <c r="C92" s="127" t="str">
        <f ca="1">IF(OFFSET(PO!N$12,ROW(C92)-ROW(C$12),0)=0,"",OFFSET(PO!N$12,ROW(C92)-ROW(C$12),0))</f>
        <v>DIVISORIA EM GRANITO, COM DUAS FACES POLIDAS, TIPO ANDORINHA/ QUARTZ/ CASTELO/ CORUMBA OU OUTROS EQUIVALENTES DA REGIAO, E=  *3,0* CM</v>
      </c>
      <c r="D92" s="129" t="str">
        <f ca="1">IF(OFFSET(PO!O$12,ROW(D92)-ROW(D$12),0)=0,"",OFFSET(PO!O$12,ROW(D92)-ROW(D$12),0))</f>
        <v xml:space="preserve">M2    </v>
      </c>
      <c r="E92" s="165">
        <f ca="1">IF($A92&lt;&gt;"Serviço",0,ROUND(SUMIF($F$9:$P$9,"&lt;&gt;",$F92:$P92),15-13*PO!$X$3))</f>
        <v>29.16</v>
      </c>
      <c r="F92" s="215">
        <f ca="1">OFFSET(PO!$P$12,ROW($E92)-ROW(F$12),0)</f>
        <v>29.16</v>
      </c>
      <c r="G92" s="215"/>
      <c r="H92" s="215"/>
      <c r="I92" s="215"/>
      <c r="J92" s="215"/>
      <c r="K92" s="215"/>
      <c r="L92" s="215"/>
      <c r="M92" s="215"/>
      <c r="N92" s="215"/>
      <c r="O92" s="215"/>
      <c r="U92" s="215"/>
    </row>
    <row r="93" spans="1:21" s="4" customFormat="1" ht="25.5" x14ac:dyDescent="0.2">
      <c r="A93" s="128" t="str">
        <f ca="1">OFFSET(PO!J$12,ROW(A93)-ROW($A$12),0)</f>
        <v>Serviço</v>
      </c>
      <c r="B93" s="130" t="str">
        <f ca="1">IF($A93=0,"",OFFSET(PO!K$12,ROW(B93)-ROW(B$12),0))</f>
        <v>4.3.2.</v>
      </c>
      <c r="C93" s="127" t="str">
        <f ca="1">IF(OFFSET(PO!N$12,ROW(C93)-ROW(C$12),0)=0,"",OFFSET(PO!N$12,ROW(C93)-ROW(C$12),0))</f>
        <v>PORTA EM ALUMÍNIO DE ABRIR COM GUARNIÇÃO, FIXAÇÃO COM PARAFUSOS - FORNECIMENTO E INSTALAÇÃO. - P1</v>
      </c>
      <c r="D93" s="129" t="str">
        <f ca="1">IF(OFFSET(PO!O$12,ROW(D93)-ROW(D$12),0)=0,"",OFFSET(PO!O$12,ROW(D93)-ROW(D$12),0))</f>
        <v>M2</v>
      </c>
      <c r="E93" s="165">
        <f ca="1">IF($A93&lt;&gt;"Serviço",0,ROUND(SUMIF($F$9:$P$9,"&lt;&gt;",$F93:$P93),15-13*PO!$X$3))</f>
        <v>15.12</v>
      </c>
      <c r="F93" s="215">
        <f ca="1">OFFSET(PO!$P$12,ROW($E93)-ROW(F$12),0)</f>
        <v>15.12</v>
      </c>
      <c r="G93" s="215"/>
      <c r="H93" s="215"/>
      <c r="I93" s="215"/>
      <c r="J93" s="215"/>
      <c r="K93" s="215"/>
      <c r="L93" s="215"/>
      <c r="M93" s="215"/>
      <c r="N93" s="215"/>
      <c r="O93" s="215"/>
      <c r="U93" s="215"/>
    </row>
    <row r="94" spans="1:21" s="4" customFormat="1" ht="38.25" x14ac:dyDescent="0.2">
      <c r="A94" s="128" t="str">
        <f ca="1">OFFSET(PO!J$12,ROW(A94)-ROW($A$12),0)</f>
        <v>Serviço</v>
      </c>
      <c r="B94" s="130" t="str">
        <f ca="1">IF($A94=0,"",OFFSET(PO!K$12,ROW(B94)-ROW(B$12),0))</f>
        <v>4.3.3.</v>
      </c>
      <c r="C94" s="127" t="str">
        <f ca="1">IF(OFFSET(PO!N$12,ROW(C94)-ROW(C$12),0)=0,"",OFFSET(PO!N$12,ROW(C94)-ROW(C$12),0))</f>
        <v>PORTA DE AÇO CONFORME PADRÃO EXISTENTE INCLUSO FERRAGENS, PINTURA ANTICORROSIVA, REQUADRO E PINTURA ESMALTE - FORNECIMENTO E INSTALAÇÃO</v>
      </c>
      <c r="D94" s="129" t="str">
        <f ca="1">IF(OFFSET(PO!O$12,ROW(D94)-ROW(D$12),0)=0,"",OFFSET(PO!O$12,ROW(D94)-ROW(D$12),0))</f>
        <v>M2</v>
      </c>
      <c r="E94" s="165">
        <f ca="1">IF($A94&lt;&gt;"Serviço",0,ROUND(SUMIF($F$9:$P$9,"&lt;&gt;",$F94:$P94),15-13*PO!$X$3))</f>
        <v>16.329999999999998</v>
      </c>
      <c r="F94" s="215">
        <f ca="1">OFFSET(PO!$P$12,ROW($E94)-ROW(F$12),0)</f>
        <v>16.329999999999998</v>
      </c>
      <c r="G94" s="215"/>
      <c r="H94" s="215"/>
      <c r="I94" s="215"/>
      <c r="J94" s="215"/>
      <c r="K94" s="215"/>
      <c r="L94" s="215"/>
      <c r="M94" s="215"/>
      <c r="N94" s="215"/>
      <c r="O94" s="215"/>
      <c r="U94" s="215"/>
    </row>
    <row r="95" spans="1:21" s="4" customFormat="1" ht="25.5" x14ac:dyDescent="0.2">
      <c r="A95" s="128" t="str">
        <f ca="1">OFFSET(PO!J$12,ROW(A95)-ROW($A$12),0)</f>
        <v>Serviço</v>
      </c>
      <c r="B95" s="130" t="str">
        <f ca="1">IF($A95=0,"",OFFSET(PO!K$12,ROW(B95)-ROW(B$12),0))</f>
        <v>4.3.4.</v>
      </c>
      <c r="C95" s="127" t="str">
        <f ca="1">IF(OFFSET(PO!N$12,ROW(C95)-ROW(C$12),0)=0,"",OFFSET(PO!N$12,ROW(C95)-ROW(C$12),0))</f>
        <v>PEITORIL EM GRANITO, LARGURA 15 CM, ESPESSURA 2,0 CM. AF_06/2018</v>
      </c>
      <c r="D95" s="129" t="str">
        <f ca="1">IF(OFFSET(PO!O$12,ROW(D95)-ROW(D$12),0)=0,"",OFFSET(PO!O$12,ROW(D95)-ROW(D$12),0))</f>
        <v>M</v>
      </c>
      <c r="E95" s="165">
        <f ca="1">IF($A95&lt;&gt;"Serviço",0,ROUND(SUMIF($F$9:$P$9,"&lt;&gt;",$F95:$P95),15-13*PO!$X$3))</f>
        <v>13.6</v>
      </c>
      <c r="F95" s="215">
        <f ca="1">OFFSET(PO!$P$12,ROW($E95)-ROW(F$12),0)</f>
        <v>13.6</v>
      </c>
      <c r="G95" s="215"/>
      <c r="H95" s="215"/>
      <c r="I95" s="215"/>
      <c r="J95" s="215"/>
      <c r="K95" s="215"/>
      <c r="L95" s="215"/>
      <c r="M95" s="215"/>
      <c r="N95" s="215"/>
      <c r="O95" s="215"/>
      <c r="U95" s="215"/>
    </row>
    <row r="96" spans="1:21" s="4" customFormat="1" ht="51" x14ac:dyDescent="0.2">
      <c r="A96" s="128" t="str">
        <f ca="1">OFFSET(PO!J$12,ROW(A96)-ROW($A$12),0)</f>
        <v>Serviço</v>
      </c>
      <c r="B96" s="130" t="str">
        <f ca="1">IF($A96=0,"",OFFSET(PO!K$12,ROW(B96)-ROW(B$12),0))</f>
        <v>4.3.5.</v>
      </c>
      <c r="C96" s="127" t="str">
        <f ca="1">IF(OFFSET(PO!N$12,ROW(C96)-ROW(C$12),0)=0,"",OFFSET(PO!N$12,ROW(C96)-ROW(C$12),0))</f>
        <v>JANELA DE AÇO TIPO BASCULANTE COM BATENTE, FERRAGENS E PINTURA ANTICORROSIVA. INCLUSIVE VIDROS, REQUADRO E PINTURA ESMALTE - FORNECIMENTO E INSTALAÇÃO</v>
      </c>
      <c r="D96" s="129" t="str">
        <f ca="1">IF(OFFSET(PO!O$12,ROW(D96)-ROW(D$12),0)=0,"",OFFSET(PO!O$12,ROW(D96)-ROW(D$12),0))</f>
        <v>M2</v>
      </c>
      <c r="E96" s="165">
        <f ca="1">IF($A96&lt;&gt;"Serviço",0,ROUND(SUMIF($F$9:$P$9,"&lt;&gt;",$F96:$P96),15-13*PO!$X$3))</f>
        <v>10.72</v>
      </c>
      <c r="F96" s="215">
        <f ca="1">OFFSET(PO!$P$12,ROW($E96)-ROW(F$12),0)</f>
        <v>10.72</v>
      </c>
      <c r="G96" s="215"/>
      <c r="H96" s="215"/>
      <c r="I96" s="215"/>
      <c r="J96" s="215"/>
      <c r="K96" s="215"/>
      <c r="L96" s="215"/>
      <c r="M96" s="215"/>
      <c r="N96" s="215"/>
      <c r="O96" s="215"/>
      <c r="U96" s="215"/>
    </row>
    <row r="97" spans="1:21" s="4" customFormat="1" ht="25.5" x14ac:dyDescent="0.2">
      <c r="A97" s="128" t="str">
        <f ca="1">OFFSET(PO!J$12,ROW(A97)-ROW($A$12),0)</f>
        <v>Serviço</v>
      </c>
      <c r="B97" s="130" t="str">
        <f ca="1">IF($A97=0,"",OFFSET(PO!K$12,ROW(B97)-ROW(B$12),0))</f>
        <v>4.3.6.</v>
      </c>
      <c r="C97" s="127" t="str">
        <f ca="1">IF(OFFSET(PO!N$12,ROW(C97)-ROW(C$12),0)=0,"",OFFSET(PO!N$12,ROW(C97)-ROW(C$12),0))</f>
        <v>VERGA PRÉ-MOLDADA PARA PORTAS COM ATÉ 1,5 M DE VÃO. AF_03/2016</v>
      </c>
      <c r="D97" s="129" t="str">
        <f ca="1">IF(OFFSET(PO!O$12,ROW(D97)-ROW(D$12),0)=0,"",OFFSET(PO!O$12,ROW(D97)-ROW(D$12),0))</f>
        <v>M</v>
      </c>
      <c r="E97" s="165">
        <f ca="1">IF($A97&lt;&gt;"Serviço",0,ROUND(SUMIF($F$9:$P$9,"&lt;&gt;",$F97:$P97),15-13*PO!$X$3))</f>
        <v>2.2999999999999998</v>
      </c>
      <c r="F97" s="215">
        <f ca="1">OFFSET(PO!$P$12,ROW($E97)-ROW(F$12),0)</f>
        <v>2.2999999999999998</v>
      </c>
      <c r="G97" s="215"/>
      <c r="H97" s="215"/>
      <c r="I97" s="215"/>
      <c r="J97" s="215"/>
      <c r="K97" s="215"/>
      <c r="L97" s="215"/>
      <c r="M97" s="215"/>
      <c r="N97" s="215"/>
      <c r="O97" s="215"/>
      <c r="U97" s="215"/>
    </row>
    <row r="98" spans="1:21" s="4" customFormat="1" x14ac:dyDescent="0.2">
      <c r="A98" s="128" t="str">
        <f ca="1">OFFSET(PO!J$12,ROW(A98)-ROW($A$12),0)</f>
        <v>Nível 2</v>
      </c>
      <c r="B98" s="130" t="str">
        <f ca="1">IF($A98=0,"",OFFSET(PO!K$12,ROW(B98)-ROW(B$12),0))</f>
        <v>4.4.</v>
      </c>
      <c r="C98" s="127" t="str">
        <f ca="1">IF(OFFSET(PO!N$12,ROW(C98)-ROW(C$12),0)=0,"",OFFSET(PO!N$12,ROW(C98)-ROW(C$12),0))</f>
        <v>EQUIPAMENTO SANITÁRIO</v>
      </c>
      <c r="D98" s="129" t="str">
        <f ca="1">IF(OFFSET(PO!O$12,ROW(D98)-ROW(D$12),0)=0,"",OFFSET(PO!O$12,ROW(D98)-ROW(D$12),0))</f>
        <v/>
      </c>
      <c r="E98" s="165">
        <f ca="1">IF($A98&lt;&gt;"Serviço",0,ROUND(SUMIF($F$9:$P$9,"&lt;&gt;",$F98:$P98),15-13*PO!$X$3))</f>
        <v>0</v>
      </c>
      <c r="F98" s="215">
        <f ca="1">OFFSET(PO!$P$12,ROW($E98)-ROW(F$12),0)</f>
        <v>0</v>
      </c>
      <c r="G98" s="215"/>
      <c r="H98" s="215"/>
      <c r="I98" s="215"/>
      <c r="J98" s="215"/>
      <c r="K98" s="215"/>
      <c r="L98" s="215"/>
      <c r="M98" s="215"/>
      <c r="N98" s="215"/>
      <c r="O98" s="215"/>
      <c r="U98" s="215"/>
    </row>
    <row r="99" spans="1:21" s="4" customFormat="1" ht="38.25" x14ac:dyDescent="0.2">
      <c r="A99" s="128" t="str">
        <f ca="1">OFFSET(PO!J$12,ROW(A99)-ROW($A$12),0)</f>
        <v>Serviço</v>
      </c>
      <c r="B99" s="130" t="str">
        <f ca="1">IF($A99=0,"",OFFSET(PO!K$12,ROW(B99)-ROW(B$12),0))</f>
        <v>4.4.1.</v>
      </c>
      <c r="C99" s="127" t="str">
        <f ca="1">IF(OFFSET(PO!N$12,ROW(C99)-ROW(C$12),0)=0,"",OFFSET(PO!N$12,ROW(C99)-ROW(C$12),0))</f>
        <v>VASO SANITÁRIO SIFONADO COM CAIXA ACOPLADA LOUÇA BRANCA, INCLUSO ENGATE FLEXÍVEL EM PLÁSTICO BRANCO, 1/2  X 40CM - FORNECIMENTO E INSTALAÇÃO.</v>
      </c>
      <c r="D99" s="129" t="str">
        <f ca="1">IF(OFFSET(PO!O$12,ROW(D99)-ROW(D$12),0)=0,"",OFFSET(PO!O$12,ROW(D99)-ROW(D$12),0))</f>
        <v>UN</v>
      </c>
      <c r="E99" s="165">
        <f ca="1">IF($A99&lt;&gt;"Serviço",0,ROUND(SUMIF($F$9:$P$9,"&lt;&gt;",$F99:$P99),15-13*PO!$X$3))</f>
        <v>14</v>
      </c>
      <c r="F99" s="215">
        <f ca="1">OFFSET(PO!$P$12,ROW($E99)-ROW(F$12),0)</f>
        <v>14</v>
      </c>
      <c r="G99" s="215"/>
      <c r="H99" s="215"/>
      <c r="I99" s="215"/>
      <c r="J99" s="215"/>
      <c r="K99" s="215"/>
      <c r="L99" s="215"/>
      <c r="M99" s="215"/>
      <c r="N99" s="215"/>
      <c r="O99" s="215"/>
      <c r="U99" s="215"/>
    </row>
    <row r="100" spans="1:21" s="4" customFormat="1" ht="51" x14ac:dyDescent="0.2">
      <c r="A100" s="128" t="str">
        <f ca="1">OFFSET(PO!J$12,ROW(A100)-ROW($A$12),0)</f>
        <v>Serviço</v>
      </c>
      <c r="B100" s="130" t="str">
        <f ca="1">IF($A100=0,"",OFFSET(PO!K$12,ROW(B100)-ROW(B$12),0))</f>
        <v>4.4.2.</v>
      </c>
      <c r="C100" s="127" t="str">
        <f ca="1">IF(OFFSET(PO!N$12,ROW(C100)-ROW(C$12),0)=0,"",OFFSET(PO!N$12,ROW(C100)-ROW(C$12),0))</f>
        <v>VASO SANITARIO SIFONADO CONVENCIONAL PARA PCD SEM FURO FRONTAL COM LOUÇA BRANCA SEM ASSENTO, INCLUSO CONJUNTO DE LIGAÇÃO PARA BACIA SANITÁRIA AJUSTÁVEL - FORNECIMENTO E INSTALAÇÃO</v>
      </c>
      <c r="D100" s="129" t="str">
        <f ca="1">IF(OFFSET(PO!O$12,ROW(D100)-ROW(D$12),0)=0,"",OFFSET(PO!O$12,ROW(D100)-ROW(D$12),0))</f>
        <v>UN</v>
      </c>
      <c r="E100" s="165">
        <f ca="1">IF($A100&lt;&gt;"Serviço",0,ROUND(SUMIF($F$9:$P$9,"&lt;&gt;",$F100:$P100),15-13*PO!$X$3))</f>
        <v>2</v>
      </c>
      <c r="F100" s="215">
        <f ca="1">OFFSET(PO!$P$12,ROW($E100)-ROW(F$12),0)</f>
        <v>2</v>
      </c>
      <c r="G100" s="215"/>
      <c r="H100" s="215"/>
      <c r="I100" s="215"/>
      <c r="J100" s="215"/>
      <c r="K100" s="215"/>
      <c r="L100" s="215"/>
      <c r="M100" s="215"/>
      <c r="N100" s="215"/>
      <c r="O100" s="215"/>
      <c r="U100" s="215"/>
    </row>
    <row r="101" spans="1:21" s="4" customFormat="1" ht="25.5" x14ac:dyDescent="0.2">
      <c r="A101" s="128" t="str">
        <f ca="1">OFFSET(PO!J$12,ROW(A101)-ROW($A$12),0)</f>
        <v>Serviço</v>
      </c>
      <c r="B101" s="130" t="str">
        <f ca="1">IF($A101=0,"",OFFSET(PO!K$12,ROW(B101)-ROW(B$12),0))</f>
        <v>4.4.3.</v>
      </c>
      <c r="C101" s="127" t="str">
        <f ca="1">IF(OFFSET(PO!N$12,ROW(C101)-ROW(C$12),0)=0,"",OFFSET(PO!N$12,ROW(C101)-ROW(C$12),0))</f>
        <v>MICTORIO SIFONADO LOUCA BRANCA - FORNECIMENTO E INSTALAÇÃO - INCLUSIVE ACESSÓRIOS</v>
      </c>
      <c r="D101" s="129" t="str">
        <f ca="1">IF(OFFSET(PO!O$12,ROW(D101)-ROW(D$12),0)=0,"",OFFSET(PO!O$12,ROW(D101)-ROW(D$12),0))</f>
        <v xml:space="preserve">UN    </v>
      </c>
      <c r="E101" s="165">
        <f ca="1">IF($A101&lt;&gt;"Serviço",0,ROUND(SUMIF($F$9:$P$9,"&lt;&gt;",$F101:$P101),15-13*PO!$X$3))</f>
        <v>10</v>
      </c>
      <c r="F101" s="215">
        <f ca="1">OFFSET(PO!$P$12,ROW($E101)-ROW(F$12),0)</f>
        <v>10</v>
      </c>
      <c r="G101" s="215"/>
      <c r="H101" s="215"/>
      <c r="I101" s="215"/>
      <c r="J101" s="215"/>
      <c r="K101" s="215"/>
      <c r="L101" s="215"/>
      <c r="M101" s="215"/>
      <c r="N101" s="215"/>
      <c r="O101" s="215"/>
      <c r="U101" s="215"/>
    </row>
    <row r="102" spans="1:21" s="4" customFormat="1" ht="63.75" x14ac:dyDescent="0.2">
      <c r="A102" s="128" t="str">
        <f ca="1">OFFSET(PO!J$12,ROW(A102)-ROW($A$12),0)</f>
        <v>Serviço</v>
      </c>
      <c r="B102" s="130" t="str">
        <f ca="1">IF($A102=0,"",OFFSET(PO!K$12,ROW(B102)-ROW(B$12),0))</f>
        <v>4.4.4.</v>
      </c>
      <c r="C102" s="127" t="str">
        <f ca="1">IF(OFFSET(PO!N$12,ROW(C102)-ROW(C$12),0)=0,"",OFFSET(PO!N$12,ROW(C102)-ROW(C$12),0))</f>
        <v>LAVATÓRIO LOUÇA BRANCA COM COLUNA, *44 X 35,5* CM, PADRÃO POPULAR, INCLUSO SIFÃO FLEXÍVEL EM PVC, VÁLVULA E ENGATE FLEXÍVEL 30CM EM PLÁSTICO E COM TORNEIRA CROMADA PADRÃO POPULAR - FORNECIMENTO E INSTALAÇÃO.</v>
      </c>
      <c r="D102" s="129" t="str">
        <f ca="1">IF(OFFSET(PO!O$12,ROW(D102)-ROW(D$12),0)=0,"",OFFSET(PO!O$12,ROW(D102)-ROW(D$12),0))</f>
        <v>UN</v>
      </c>
      <c r="E102" s="165">
        <f ca="1">IF($A102&lt;&gt;"Serviço",0,ROUND(SUMIF($F$9:$P$9,"&lt;&gt;",$F102:$P102),15-13*PO!$X$3))</f>
        <v>14</v>
      </c>
      <c r="F102" s="215">
        <f ca="1">OFFSET(PO!$P$12,ROW($E102)-ROW(F$12),0)</f>
        <v>14</v>
      </c>
      <c r="G102" s="215"/>
      <c r="H102" s="215"/>
      <c r="I102" s="215"/>
      <c r="J102" s="215"/>
      <c r="K102" s="215"/>
      <c r="L102" s="215"/>
      <c r="M102" s="215"/>
      <c r="N102" s="215"/>
      <c r="O102" s="215"/>
      <c r="U102" s="215"/>
    </row>
    <row r="103" spans="1:21" s="4" customFormat="1" ht="63.75" x14ac:dyDescent="0.2">
      <c r="A103" s="128" t="str">
        <f ca="1">OFFSET(PO!J$12,ROW(A103)-ROW($A$12),0)</f>
        <v>Serviço</v>
      </c>
      <c r="B103" s="130" t="str">
        <f ca="1">IF($A103=0,"",OFFSET(PO!K$12,ROW(B103)-ROW(B$12),0))</f>
        <v>4.4.5.</v>
      </c>
      <c r="C103" s="127" t="str">
        <f ca="1">IF(OFFSET(PO!N$12,ROW(C103)-ROW(C$12),0)=0,"",OFFSET(PO!N$12,ROW(C103)-ROW(C$12),0))</f>
        <v>LAVATÓRIO LOUÇA BRANCA SUSPENSO, 29,5 X 39CM OU EQUIVALENTE, PADRÃO POPULAR, INCLUSO SIFÃO TIPO GARRAFA EM PVC, VÁLVULA E ENGATE FLEXÍVEL 30CM EM PLÁSTICO E TORNEIRA CROMADA DE MESA, PADRÃO POPULAR - FORNECIMENTO E INSTALAÇÃO.</v>
      </c>
      <c r="D103" s="129" t="str">
        <f ca="1">IF(OFFSET(PO!O$12,ROW(D103)-ROW(D$12),0)=0,"",OFFSET(PO!O$12,ROW(D103)-ROW(D$12),0))</f>
        <v>UN</v>
      </c>
      <c r="E103" s="165">
        <f ca="1">IF($A103&lt;&gt;"Serviço",0,ROUND(SUMIF($F$9:$P$9,"&lt;&gt;",$F103:$P103),15-13*PO!$X$3))</f>
        <v>2</v>
      </c>
      <c r="F103" s="215">
        <f ca="1">OFFSET(PO!$P$12,ROW($E103)-ROW(F$12),0)</f>
        <v>2</v>
      </c>
      <c r="G103" s="215"/>
      <c r="H103" s="215"/>
      <c r="I103" s="215"/>
      <c r="J103" s="215"/>
      <c r="K103" s="215"/>
      <c r="L103" s="215"/>
      <c r="M103" s="215"/>
      <c r="N103" s="215"/>
      <c r="O103" s="215"/>
      <c r="U103" s="215"/>
    </row>
    <row r="104" spans="1:21" s="4" customFormat="1" ht="38.25" x14ac:dyDescent="0.2">
      <c r="A104" s="128" t="str">
        <f ca="1">OFFSET(PO!J$12,ROW(A104)-ROW($A$12),0)</f>
        <v>Serviço</v>
      </c>
      <c r="B104" s="130" t="str">
        <f ca="1">IF($A104=0,"",OFFSET(PO!K$12,ROW(B104)-ROW(B$12),0))</f>
        <v>4.4.6.</v>
      </c>
      <c r="C104" s="127" t="str">
        <f ca="1">IF(OFFSET(PO!N$12,ROW(C104)-ROW(C$12),0)=0,"",OFFSET(PO!N$12,ROW(C104)-ROW(C$12),0))</f>
        <v>BARRA DE APOIO LATERAL ARTICULADA, COM TRAVA, EM ACO INOX POLIDO, FIXADA NA PAREDE - FORNECIMENTO E INSTALAÇÃO. AF_01/2020</v>
      </c>
      <c r="D104" s="129" t="str">
        <f ca="1">IF(OFFSET(PO!O$12,ROW(D104)-ROW(D$12),0)=0,"",OFFSET(PO!O$12,ROW(D104)-ROW(D$12),0))</f>
        <v>UN</v>
      </c>
      <c r="E104" s="165">
        <f ca="1">IF($A104&lt;&gt;"Serviço",0,ROUND(SUMIF($F$9:$P$9,"&lt;&gt;",$F104:$P104),15-13*PO!$X$3))</f>
        <v>2</v>
      </c>
      <c r="F104" s="215">
        <f ca="1">OFFSET(PO!$P$12,ROW($E104)-ROW(F$12),0)</f>
        <v>2</v>
      </c>
      <c r="G104" s="215"/>
      <c r="H104" s="215"/>
      <c r="I104" s="215"/>
      <c r="J104" s="215"/>
      <c r="K104" s="215"/>
      <c r="L104" s="215"/>
      <c r="M104" s="215"/>
      <c r="N104" s="215"/>
      <c r="O104" s="215"/>
      <c r="U104" s="215"/>
    </row>
    <row r="105" spans="1:21" s="4" customFormat="1" ht="38.25" x14ac:dyDescent="0.2">
      <c r="A105" s="128" t="str">
        <f ca="1">OFFSET(PO!J$12,ROW(A105)-ROW($A$12),0)</f>
        <v>Serviço</v>
      </c>
      <c r="B105" s="130" t="str">
        <f ca="1">IF($A105=0,"",OFFSET(PO!K$12,ROW(B105)-ROW(B$12),0))</f>
        <v>4.4.7.</v>
      </c>
      <c r="C105" s="127" t="str">
        <f ca="1">IF(OFFSET(PO!N$12,ROW(C105)-ROW(C$12),0)=0,"",OFFSET(PO!N$12,ROW(C105)-ROW(C$12),0))</f>
        <v>BARRA DE APOIO RETA, EM ACO INOX POLIDO, COMPRIMENTO 80 CM,  FIXADA NA PAREDE - FORNECIMENTO E INSTALAÇÃO. AF_01/2020</v>
      </c>
      <c r="D105" s="129" t="str">
        <f ca="1">IF(OFFSET(PO!O$12,ROW(D105)-ROW(D$12),0)=0,"",OFFSET(PO!O$12,ROW(D105)-ROW(D$12),0))</f>
        <v>UN</v>
      </c>
      <c r="E105" s="165">
        <f ca="1">IF($A105&lt;&gt;"Serviço",0,ROUND(SUMIF($F$9:$P$9,"&lt;&gt;",$F105:$P105),15-13*PO!$X$3))</f>
        <v>2</v>
      </c>
      <c r="F105" s="215">
        <f ca="1">OFFSET(PO!$P$12,ROW($E105)-ROW(F$12),0)</f>
        <v>2</v>
      </c>
      <c r="G105" s="215"/>
      <c r="H105" s="215"/>
      <c r="I105" s="215"/>
      <c r="J105" s="215"/>
      <c r="K105" s="215"/>
      <c r="L105" s="215"/>
      <c r="M105" s="215"/>
      <c r="N105" s="215"/>
      <c r="O105" s="215"/>
      <c r="U105" s="215"/>
    </row>
    <row r="106" spans="1:21" s="4" customFormat="1" ht="38.25" x14ac:dyDescent="0.2">
      <c r="A106" s="128" t="str">
        <f ca="1">OFFSET(PO!J$12,ROW(A106)-ROW($A$12),0)</f>
        <v>Serviço</v>
      </c>
      <c r="B106" s="130" t="str">
        <f ca="1">IF($A106=0,"",OFFSET(PO!K$12,ROW(B106)-ROW(B$12),0))</f>
        <v>4.4.8.</v>
      </c>
      <c r="C106" s="127" t="str">
        <f ca="1">IF(OFFSET(PO!N$12,ROW(C106)-ROW(C$12),0)=0,"",OFFSET(PO!N$12,ROW(C106)-ROW(C$12),0))</f>
        <v>BARRA DE APOIO RETA, EM ACO INOX POLIDO, COMPRIMENTO 60CM, FIXADA NA PAREDE - FORNECIMENTO E INSTALAÇÃO. AF_01/2020</v>
      </c>
      <c r="D106" s="129" t="str">
        <f ca="1">IF(OFFSET(PO!O$12,ROW(D106)-ROW(D$12),0)=0,"",OFFSET(PO!O$12,ROW(D106)-ROW(D$12),0))</f>
        <v>UN</v>
      </c>
      <c r="E106" s="165">
        <f ca="1">IF($A106&lt;&gt;"Serviço",0,ROUND(SUMIF($F$9:$P$9,"&lt;&gt;",$F106:$P106),15-13*PO!$X$3))</f>
        <v>2</v>
      </c>
      <c r="F106" s="215">
        <f ca="1">OFFSET(PO!$P$12,ROW($E106)-ROW(F$12),0)</f>
        <v>2</v>
      </c>
      <c r="G106" s="215"/>
      <c r="H106" s="215"/>
      <c r="I106" s="215"/>
      <c r="J106" s="215"/>
      <c r="K106" s="215"/>
      <c r="L106" s="215"/>
      <c r="M106" s="215"/>
      <c r="N106" s="215"/>
      <c r="O106" s="215"/>
      <c r="U106" s="215"/>
    </row>
    <row r="107" spans="1:21" s="4" customFormat="1" x14ac:dyDescent="0.2">
      <c r="A107" s="128" t="str">
        <f ca="1">OFFSET(PO!J$12,ROW(A107)-ROW($A$12),0)</f>
        <v>Serviço</v>
      </c>
      <c r="B107" s="130" t="str">
        <f ca="1">IF($A107=0,"",OFFSET(PO!K$12,ROW(B107)-ROW(B$12),0))</f>
        <v>4.4.9.</v>
      </c>
      <c r="C107" s="127" t="str">
        <f ca="1">IF(OFFSET(PO!N$12,ROW(C107)-ROW(C$12),0)=0,"",OFFSET(PO!N$12,ROW(C107)-ROW(C$12),0))</f>
        <v>ASSENTO SANITARIO DE PLASTICO, TIPO CONVENCIONAL</v>
      </c>
      <c r="D107" s="129" t="str">
        <f ca="1">IF(OFFSET(PO!O$12,ROW(D107)-ROW(D$12),0)=0,"",OFFSET(PO!O$12,ROW(D107)-ROW(D$12),0))</f>
        <v xml:space="preserve">UN    </v>
      </c>
      <c r="E107" s="165">
        <f ca="1">IF($A107&lt;&gt;"Serviço",0,ROUND(SUMIF($F$9:$P$9,"&lt;&gt;",$F107:$P107),15-13*PO!$X$3))</f>
        <v>16</v>
      </c>
      <c r="F107" s="215">
        <f ca="1">OFFSET(PO!$P$12,ROW($E107)-ROW(F$12),0)</f>
        <v>16</v>
      </c>
      <c r="G107" s="215"/>
      <c r="H107" s="215"/>
      <c r="I107" s="215"/>
      <c r="J107" s="215"/>
      <c r="K107" s="215"/>
      <c r="L107" s="215"/>
      <c r="M107" s="215"/>
      <c r="N107" s="215"/>
      <c r="O107" s="215"/>
      <c r="U107" s="215"/>
    </row>
    <row r="108" spans="1:21" s="4" customFormat="1" ht="38.25" x14ac:dyDescent="0.2">
      <c r="A108" s="128" t="str">
        <f ca="1">OFFSET(PO!J$12,ROW(A108)-ROW($A$12),0)</f>
        <v>Serviço</v>
      </c>
      <c r="B108" s="130" t="str">
        <f ca="1">IF($A108=0,"",OFFSET(PO!K$12,ROW(B108)-ROW(B$12),0))</f>
        <v>4.4.10.</v>
      </c>
      <c r="C108" s="127" t="str">
        <f ca="1">IF(OFFSET(PO!N$12,ROW(C108)-ROW(C$12),0)=0,"",OFFSET(PO!N$12,ROW(C108)-ROW(C$12),0))</f>
        <v>SABONETEIRA PLASTICA TIPO DISPENSER PARA SABONETE LIQUIDO COM RESERVATORIO 800 A 1500 ML, INCLUSO FIXAÇÃO. AF_01/2020</v>
      </c>
      <c r="D108" s="129" t="str">
        <f ca="1">IF(OFFSET(PO!O$12,ROW(D108)-ROW(D$12),0)=0,"",OFFSET(PO!O$12,ROW(D108)-ROW(D$12),0))</f>
        <v>UN</v>
      </c>
      <c r="E108" s="165">
        <f ca="1">IF($A108&lt;&gt;"Serviço",0,ROUND(SUMIF($F$9:$P$9,"&lt;&gt;",$F108:$P108),15-13*PO!$X$3))</f>
        <v>10</v>
      </c>
      <c r="F108" s="215">
        <f ca="1">OFFSET(PO!$P$12,ROW($E108)-ROW(F$12),0)</f>
        <v>10</v>
      </c>
      <c r="G108" s="215"/>
      <c r="H108" s="215"/>
      <c r="I108" s="215"/>
      <c r="J108" s="215"/>
      <c r="K108" s="215"/>
      <c r="L108" s="215"/>
      <c r="M108" s="215"/>
      <c r="N108" s="215"/>
      <c r="O108" s="215"/>
      <c r="U108" s="215"/>
    </row>
    <row r="109" spans="1:21" s="4" customFormat="1" ht="25.5" x14ac:dyDescent="0.2">
      <c r="A109" s="128" t="str">
        <f ca="1">OFFSET(PO!J$12,ROW(A109)-ROW($A$12),0)</f>
        <v>Serviço</v>
      </c>
      <c r="B109" s="130" t="str">
        <f ca="1">IF($A109=0,"",OFFSET(PO!K$12,ROW(B109)-ROW(B$12),0))</f>
        <v>4.4.11.</v>
      </c>
      <c r="C109" s="127" t="str">
        <f ca="1">IF(OFFSET(PO!N$12,ROW(C109)-ROW(C$12),0)=0,"",OFFSET(PO!N$12,ROW(C109)-ROW(C$12),0))</f>
        <v>TOALHEIRO PLASTICO TIPO DISPENSER PARA PAPEL TOALHA INTERFOLHADO</v>
      </c>
      <c r="D109" s="129" t="str">
        <f ca="1">IF(OFFSET(PO!O$12,ROW(D109)-ROW(D$12),0)=0,"",OFFSET(PO!O$12,ROW(D109)-ROW(D$12),0))</f>
        <v xml:space="preserve">UN    </v>
      </c>
      <c r="E109" s="165">
        <f ca="1">IF($A109&lt;&gt;"Serviço",0,ROUND(SUMIF($F$9:$P$9,"&lt;&gt;",$F109:$P109),15-13*PO!$X$3))</f>
        <v>10</v>
      </c>
      <c r="F109" s="215">
        <f ca="1">OFFSET(PO!$P$12,ROW($E109)-ROW(F$12),0)</f>
        <v>10</v>
      </c>
      <c r="G109" s="215"/>
      <c r="H109" s="215"/>
      <c r="I109" s="215"/>
      <c r="J109" s="215"/>
      <c r="K109" s="215"/>
      <c r="L109" s="215"/>
      <c r="M109" s="215"/>
      <c r="N109" s="215"/>
      <c r="O109" s="215"/>
      <c r="U109" s="215"/>
    </row>
    <row r="110" spans="1:21" s="4" customFormat="1" x14ac:dyDescent="0.2">
      <c r="A110" s="128" t="str">
        <f ca="1">OFFSET(PO!J$12,ROW(A110)-ROW($A$12),0)</f>
        <v>Nível 2</v>
      </c>
      <c r="B110" s="130" t="str">
        <f ca="1">IF($A110=0,"",OFFSET(PO!K$12,ROW(B110)-ROW(B$12),0))</f>
        <v>4.5.</v>
      </c>
      <c r="C110" s="127" t="str">
        <f ca="1">IF(OFFSET(PO!N$12,ROW(C110)-ROW(C$12),0)=0,"",OFFSET(PO!N$12,ROW(C110)-ROW(C$12),0))</f>
        <v>INSTALAÇÕES DE ÁGUA FRIA E ESGOTO SANITÁRIO</v>
      </c>
      <c r="D110" s="129" t="str">
        <f ca="1">IF(OFFSET(PO!O$12,ROW(D110)-ROW(D$12),0)=0,"",OFFSET(PO!O$12,ROW(D110)-ROW(D$12),0))</f>
        <v/>
      </c>
      <c r="E110" s="165">
        <f ca="1">IF($A110&lt;&gt;"Serviço",0,ROUND(SUMIF($F$9:$P$9,"&lt;&gt;",$F110:$P110),15-13*PO!$X$3))</f>
        <v>0</v>
      </c>
      <c r="F110" s="215">
        <f ca="1">OFFSET(PO!$P$12,ROW($E110)-ROW(F$12),0)</f>
        <v>0</v>
      </c>
      <c r="G110" s="215"/>
      <c r="H110" s="215"/>
      <c r="I110" s="215"/>
      <c r="J110" s="215"/>
      <c r="K110" s="215"/>
      <c r="L110" s="215"/>
      <c r="M110" s="215"/>
      <c r="N110" s="215"/>
      <c r="O110" s="215"/>
      <c r="U110" s="215"/>
    </row>
    <row r="111" spans="1:21" s="4" customFormat="1" ht="63.75" x14ac:dyDescent="0.2">
      <c r="A111" s="128" t="str">
        <f ca="1">OFFSET(PO!J$12,ROW(A111)-ROW($A$12),0)</f>
        <v>Serviço</v>
      </c>
      <c r="B111" s="130" t="str">
        <f ca="1">IF($A111=0,"",OFFSET(PO!K$12,ROW(B111)-ROW(B$12),0))</f>
        <v>4.5.1.</v>
      </c>
      <c r="C111" s="127" t="str">
        <f ca="1">IF(OFFSET(PO!N$12,ROW(C111)-ROW(C$12),0)=0,"",OFFSET(PO!N$12,ROW(C111)-ROW(C$12),0))</f>
        <v>(COMPOSIÇÃO REPRESENTATIVA) DO SERVIÇO DE INSTALAÇÃO TUBOS DE PVC, SOLDÁVEL, ÁGUA FRIA, DN 32 MM (INSTALADO EM RAMAL, SUB-RAMAL, RAMAL DE DISTRIBUIÇÃO OU PRUMADA), INCLUSIVE CONEXÕES, CORTES E FIXAÇÕES, PARA PRÉDIOS. AF_10/2015</v>
      </c>
      <c r="D111" s="129" t="str">
        <f ca="1">IF(OFFSET(PO!O$12,ROW(D111)-ROW(D$12),0)=0,"",OFFSET(PO!O$12,ROW(D111)-ROW(D$12),0))</f>
        <v>M</v>
      </c>
      <c r="E111" s="165">
        <f ca="1">IF($A111&lt;&gt;"Serviço",0,ROUND(SUMIF($F$9:$P$9,"&lt;&gt;",$F111:$P111),15-13*PO!$X$3))</f>
        <v>60</v>
      </c>
      <c r="F111" s="215">
        <f ca="1">OFFSET(PO!$P$12,ROW($E111)-ROW(F$12),0)</f>
        <v>60</v>
      </c>
      <c r="G111" s="215"/>
      <c r="H111" s="215"/>
      <c r="I111" s="215"/>
      <c r="J111" s="215"/>
      <c r="K111" s="215"/>
      <c r="L111" s="215"/>
      <c r="M111" s="215"/>
      <c r="N111" s="215"/>
      <c r="O111" s="215"/>
      <c r="U111" s="215"/>
    </row>
    <row r="112" spans="1:21" s="4" customFormat="1" ht="63.75" x14ac:dyDescent="0.2">
      <c r="A112" s="128" t="str">
        <f ca="1">OFFSET(PO!J$12,ROW(A112)-ROW($A$12),0)</f>
        <v>Serviço</v>
      </c>
      <c r="B112" s="130" t="str">
        <f ca="1">IF($A112=0,"",OFFSET(PO!K$12,ROW(B112)-ROW(B$12),0))</f>
        <v>4.5.2.</v>
      </c>
      <c r="C112" s="127" t="str">
        <f ca="1">IF(OFFSET(PO!N$12,ROW(C112)-ROW(C$12),0)=0,"",OFFSET(PO!N$12,ROW(C112)-ROW(C$12),0))</f>
        <v>(COMPOSIÇÃO REPRESENTATIVA) DO SERVIÇO DE INSTALAÇÃO DE TUBOS DE PVC, SOLDÁVEL, ÁGUA FRIA, DN 25 MM (INSTALADO EM RAMAL, SUB-RAMAL, RAMAL DE DISTRIBUIÇÃO OU PRUMADA), INCLUSIVE CONEXÕES, CORTES E FIXAÇÕES, PARA PRÉDIOS. AF_10/2015</v>
      </c>
      <c r="D112" s="129" t="str">
        <f ca="1">IF(OFFSET(PO!O$12,ROW(D112)-ROW(D$12),0)=0,"",OFFSET(PO!O$12,ROW(D112)-ROW(D$12),0))</f>
        <v>M</v>
      </c>
      <c r="E112" s="165">
        <f ca="1">IF($A112&lt;&gt;"Serviço",0,ROUND(SUMIF($F$9:$P$9,"&lt;&gt;",$F112:$P112),15-13*PO!$X$3))</f>
        <v>20</v>
      </c>
      <c r="F112" s="215">
        <f ca="1">OFFSET(PO!$P$12,ROW($E112)-ROW(F$12),0)</f>
        <v>20</v>
      </c>
      <c r="G112" s="215"/>
      <c r="H112" s="215"/>
      <c r="I112" s="215"/>
      <c r="J112" s="215"/>
      <c r="K112" s="215"/>
      <c r="L112" s="215"/>
      <c r="M112" s="215"/>
      <c r="N112" s="215"/>
      <c r="O112" s="215"/>
      <c r="U112" s="215"/>
    </row>
    <row r="113" spans="1:21" s="4" customFormat="1" ht="38.25" x14ac:dyDescent="0.2">
      <c r="A113" s="128" t="str">
        <f ca="1">OFFSET(PO!J$12,ROW(A113)-ROW($A$12),0)</f>
        <v>Serviço</v>
      </c>
      <c r="B113" s="130" t="str">
        <f ca="1">IF($A113=0,"",OFFSET(PO!K$12,ROW(B113)-ROW(B$12),0))</f>
        <v>4.5.3.</v>
      </c>
      <c r="C113" s="127" t="str">
        <f ca="1">IF(OFFSET(PO!N$12,ROW(C113)-ROW(C$12),0)=0,"",OFFSET(PO!N$12,ROW(C113)-ROW(C$12),0))</f>
        <v>KIT DE REGISTRO DE GAVETA BRUTO DE LATÃO ¾", INCLUSIVE CONEXÕES, ROSCÁVEL, INSTALADO EM RAMAL DE ÁGUA FRIA - FORNECIMENTO E INSTALAÇÃO. AF_12/2014</v>
      </c>
      <c r="D113" s="129" t="str">
        <f ca="1">IF(OFFSET(PO!O$12,ROW(D113)-ROW(D$12),0)=0,"",OFFSET(PO!O$12,ROW(D113)-ROW(D$12),0))</f>
        <v>UN</v>
      </c>
      <c r="E113" s="165">
        <f ca="1">IF($A113&lt;&gt;"Serviço",0,ROUND(SUMIF($F$9:$P$9,"&lt;&gt;",$F113:$P113),15-13*PO!$X$3))</f>
        <v>10</v>
      </c>
      <c r="F113" s="215">
        <f ca="1">OFFSET(PO!$P$12,ROW($E113)-ROW(F$12),0)</f>
        <v>10</v>
      </c>
      <c r="G113" s="215"/>
      <c r="H113" s="215"/>
      <c r="I113" s="215"/>
      <c r="J113" s="215"/>
      <c r="K113" s="215"/>
      <c r="L113" s="215"/>
      <c r="M113" s="215"/>
      <c r="N113" s="215"/>
      <c r="O113" s="215"/>
      <c r="U113" s="215"/>
    </row>
    <row r="114" spans="1:21" s="4" customFormat="1" ht="51" x14ac:dyDescent="0.2">
      <c r="A114" s="128" t="str">
        <f ca="1">OFFSET(PO!J$12,ROW(A114)-ROW($A$12),0)</f>
        <v>Serviço</v>
      </c>
      <c r="B114" s="130" t="str">
        <f ca="1">IF($A114=0,"",OFFSET(PO!K$12,ROW(B114)-ROW(B$12),0))</f>
        <v>4.5.4.</v>
      </c>
      <c r="C114" s="127" t="str">
        <f ca="1">IF(OFFSET(PO!N$12,ROW(C114)-ROW(C$12),0)=0,"",OFFSET(PO!N$12,ROW(C114)-ROW(C$12),0))</f>
        <v>PONTO DE CONSUMO TERMINAL DE ÁGUA FRIA (SUBRAMAL) COM TUBULAÇÃO DE PVC, DN 25 MM, INSTALADO EM RAMAL DE ÁGUA, INCLUSOS RASGO E CHUMBAMENTO EM ALVENARIA.</v>
      </c>
      <c r="D114" s="129" t="str">
        <f ca="1">IF(OFFSET(PO!O$12,ROW(D114)-ROW(D$12),0)=0,"",OFFSET(PO!O$12,ROW(D114)-ROW(D$12),0))</f>
        <v>UN</v>
      </c>
      <c r="E114" s="165">
        <f ca="1">IF($A114&lt;&gt;"Serviço",0,ROUND(SUMIF($F$9:$P$9,"&lt;&gt;",$F114:$P114),15-13*PO!$X$3))</f>
        <v>42</v>
      </c>
      <c r="F114" s="215">
        <f ca="1">OFFSET(PO!$P$12,ROW($E114)-ROW(F$12),0)</f>
        <v>42</v>
      </c>
      <c r="G114" s="215"/>
      <c r="H114" s="215"/>
      <c r="I114" s="215"/>
      <c r="J114" s="215"/>
      <c r="K114" s="215"/>
      <c r="L114" s="215"/>
      <c r="M114" s="215"/>
      <c r="N114" s="215"/>
      <c r="O114" s="215"/>
      <c r="U114" s="215"/>
    </row>
    <row r="115" spans="1:21" s="4" customFormat="1" ht="38.25" x14ac:dyDescent="0.2">
      <c r="A115" s="128" t="str">
        <f ca="1">OFFSET(PO!J$12,ROW(A115)-ROW($A$12),0)</f>
        <v>Serviço</v>
      </c>
      <c r="B115" s="130" t="str">
        <f ca="1">IF($A115=0,"",OFFSET(PO!K$12,ROW(B115)-ROW(B$12),0))</f>
        <v>4.5.5.</v>
      </c>
      <c r="C115" s="127" t="str">
        <f ca="1">IF(OFFSET(PO!N$12,ROW(C115)-ROW(C$12),0)=0,"",OFFSET(PO!N$12,ROW(C115)-ROW(C$12),0))</f>
        <v>RALO SIFONADO, PVC, DN 100 X 40 MM, JUNTA SOLDÁVEL, FORNECIDO E INSTALADO EM RAMAL DE DESCARGA OU EM RAMAL DE ESGOTO SANITÁRIO.</v>
      </c>
      <c r="D115" s="129" t="str">
        <f ca="1">IF(OFFSET(PO!O$12,ROW(D115)-ROW(D$12),0)=0,"",OFFSET(PO!O$12,ROW(D115)-ROW(D$12),0))</f>
        <v>UN</v>
      </c>
      <c r="E115" s="165">
        <f ca="1">IF($A115&lt;&gt;"Serviço",0,ROUND(SUMIF($F$9:$P$9,"&lt;&gt;",$F115:$P115),15-13*PO!$X$3))</f>
        <v>6</v>
      </c>
      <c r="F115" s="215">
        <f ca="1">OFFSET(PO!$P$12,ROW($E115)-ROW(F$12),0)</f>
        <v>6</v>
      </c>
      <c r="G115" s="215"/>
      <c r="H115" s="215"/>
      <c r="I115" s="215"/>
      <c r="J115" s="215"/>
      <c r="K115" s="215"/>
      <c r="L115" s="215"/>
      <c r="M115" s="215"/>
      <c r="N115" s="215"/>
      <c r="O115" s="215"/>
      <c r="U115" s="215"/>
    </row>
    <row r="116" spans="1:21" s="4" customFormat="1" ht="63.75" x14ac:dyDescent="0.2">
      <c r="A116" s="128" t="str">
        <f ca="1">OFFSET(PO!J$12,ROW(A116)-ROW($A$12),0)</f>
        <v>Serviço</v>
      </c>
      <c r="B116" s="130" t="str">
        <f ca="1">IF($A116=0,"",OFFSET(PO!K$12,ROW(B116)-ROW(B$12),0))</f>
        <v>4.5.6.</v>
      </c>
      <c r="C116" s="127" t="str">
        <f ca="1">IF(OFFSET(PO!N$12,ROW(C116)-ROW(C$12),0)=0,"",OFFSET(PO!N$12,ROW(C116)-ROW(C$12),0))</f>
        <v>(COMPOSIÇÃO REPRESENTATIVA) DO SERVIÇO DE INST. TUBO PVC, SÉRIE N, ESGOTO PREDIAL, 100 MM (INST. RAMAL DESCARGA, RAMAL DE ESG. SANIT., PRUMADA ESG. SANIT., VENTILAÇÃO OU SUB-COLETOR AÉREO), INCL. CONEXÕES E CORTES, FIXAÇÕES, P/ PRÉDIOS. AF_10/2015</v>
      </c>
      <c r="D116" s="129" t="str">
        <f ca="1">IF(OFFSET(PO!O$12,ROW(D116)-ROW(D$12),0)=0,"",OFFSET(PO!O$12,ROW(D116)-ROW(D$12),0))</f>
        <v>M</v>
      </c>
      <c r="E116" s="165">
        <f ca="1">IF($A116&lt;&gt;"Serviço",0,ROUND(SUMIF($F$9:$P$9,"&lt;&gt;",$F116:$P116),15-13*PO!$X$3))</f>
        <v>80</v>
      </c>
      <c r="F116" s="215">
        <f ca="1">OFFSET(PO!$P$12,ROW($E116)-ROW(F$12),0)</f>
        <v>80</v>
      </c>
      <c r="G116" s="215"/>
      <c r="H116" s="215"/>
      <c r="I116" s="215"/>
      <c r="J116" s="215"/>
      <c r="K116" s="215"/>
      <c r="L116" s="215"/>
      <c r="M116" s="215"/>
      <c r="N116" s="215"/>
      <c r="O116" s="215"/>
      <c r="U116" s="215"/>
    </row>
    <row r="117" spans="1:21" s="4" customFormat="1" ht="63.75" x14ac:dyDescent="0.2">
      <c r="A117" s="128" t="str">
        <f ca="1">OFFSET(PO!J$12,ROW(A117)-ROW($A$12),0)</f>
        <v>Serviço</v>
      </c>
      <c r="B117" s="130" t="str">
        <f ca="1">IF($A117=0,"",OFFSET(PO!K$12,ROW(B117)-ROW(B$12),0))</f>
        <v>4.5.7.</v>
      </c>
      <c r="C117" s="127" t="str">
        <f ca="1">IF(OFFSET(PO!N$12,ROW(C117)-ROW(C$12),0)=0,"",OFFSET(PO!N$12,ROW(C117)-ROW(C$12),0))</f>
        <v>(COMPOSIÇÃO REPRESENTATIVA) DO SERVIÇO DE INST. TUBO PVC, SÉRIE N, ESGOTO PREDIAL, DN 75 MM, (INST. EM RAMAL DE DESCARGA, RAMAL DE ESG. SANITÁRIO, PRUMADA DE ESG. SANITÁRIO OU VENTILAÇÃO), INCL. CONEXÕES, CORTES E FIXAÇÕES, P/ PRÉDIOS. AF_10/2015</v>
      </c>
      <c r="D117" s="129" t="str">
        <f ca="1">IF(OFFSET(PO!O$12,ROW(D117)-ROW(D$12),0)=0,"",OFFSET(PO!O$12,ROW(D117)-ROW(D$12),0))</f>
        <v>M</v>
      </c>
      <c r="E117" s="165">
        <f ca="1">IF($A117&lt;&gt;"Serviço",0,ROUND(SUMIF($F$9:$P$9,"&lt;&gt;",$F117:$P117),15-13*PO!$X$3))</f>
        <v>28</v>
      </c>
      <c r="F117" s="215">
        <f ca="1">OFFSET(PO!$P$12,ROW($E117)-ROW(F$12),0)</f>
        <v>28</v>
      </c>
      <c r="G117" s="215"/>
      <c r="H117" s="215"/>
      <c r="I117" s="215"/>
      <c r="J117" s="215"/>
      <c r="K117" s="215"/>
      <c r="L117" s="215"/>
      <c r="M117" s="215"/>
      <c r="N117" s="215"/>
      <c r="O117" s="215"/>
      <c r="U117" s="215"/>
    </row>
    <row r="118" spans="1:21" s="4" customFormat="1" x14ac:dyDescent="0.2">
      <c r="A118" s="128" t="str">
        <f ca="1">OFFSET(PO!J$12,ROW(A118)-ROW($A$12),0)</f>
        <v>Meta</v>
      </c>
      <c r="B118" s="130" t="str">
        <f ca="1">IF($A118=0,"",OFFSET(PO!K$12,ROW(B118)-ROW(B$12),0))</f>
        <v>5.</v>
      </c>
      <c r="C118" s="127" t="str">
        <f ca="1">IF(OFFSET(PO!N$12,ROW(C118)-ROW(C$12),0)=0,"",OFFSET(PO!N$12,ROW(C118)-ROW(C$12),0))</f>
        <v>MURO DE CONTENÇÃO</v>
      </c>
      <c r="D118" s="129" t="str">
        <f ca="1">IF(OFFSET(PO!O$12,ROW(D118)-ROW(D$12),0)=0,"",OFFSET(PO!O$12,ROW(D118)-ROW(D$12),0))</f>
        <v/>
      </c>
      <c r="E118" s="165">
        <f ca="1">IF($A118&lt;&gt;"Serviço",0,ROUND(SUMIF($F$9:$P$9,"&lt;&gt;",$F118:$P118),15-13*PO!$X$3))</f>
        <v>0</v>
      </c>
      <c r="F118" s="215">
        <f ca="1">OFFSET(PO!$P$12,ROW($E118)-ROW(F$12),0)</f>
        <v>0</v>
      </c>
      <c r="G118" s="215"/>
      <c r="H118" s="215"/>
      <c r="I118" s="215"/>
      <c r="J118" s="215"/>
      <c r="K118" s="215"/>
      <c r="L118" s="215"/>
      <c r="M118" s="215"/>
      <c r="N118" s="215"/>
      <c r="O118" s="215"/>
      <c r="U118" s="215"/>
    </row>
    <row r="119" spans="1:21" s="4" customFormat="1" ht="25.5" x14ac:dyDescent="0.2">
      <c r="A119" s="128" t="str">
        <f ca="1">OFFSET(PO!J$12,ROW(A119)-ROW($A$12),0)</f>
        <v>Serviço</v>
      </c>
      <c r="B119" s="130" t="str">
        <f ca="1">IF($A119=0,"",OFFSET(PO!K$12,ROW(B119)-ROW(B$12),0))</f>
        <v>5.0.1.</v>
      </c>
      <c r="C119" s="127" t="str">
        <f ca="1">IF(OFFSET(PO!N$12,ROW(C119)-ROW(C$12),0)=0,"",OFFSET(PO!N$12,ROW(C119)-ROW(C$12),0))</f>
        <v>ESCAVACAO MECANICA PARA ACERTO DE TALUDES, EM MATERIAL DE 1A CATEGORIA, COM ESCAVADEIRA HIDRAULICA</v>
      </c>
      <c r="D119" s="129" t="str">
        <f ca="1">IF(OFFSET(PO!O$12,ROW(D119)-ROW(D$12),0)=0,"",OFFSET(PO!O$12,ROW(D119)-ROW(D$12),0))</f>
        <v>M3</v>
      </c>
      <c r="E119" s="165">
        <f ca="1">IF($A119&lt;&gt;"Serviço",0,ROUND(SUMIF($F$9:$P$9,"&lt;&gt;",$F119:$P119),15-13*PO!$X$3))</f>
        <v>57.59</v>
      </c>
      <c r="F119" s="215">
        <f ca="1">OFFSET(PO!$P$12,ROW($E119)-ROW(F$12),0)</f>
        <v>57.59</v>
      </c>
      <c r="G119" s="215"/>
      <c r="H119" s="215"/>
      <c r="I119" s="215"/>
      <c r="J119" s="215"/>
      <c r="K119" s="215"/>
      <c r="L119" s="215"/>
      <c r="M119" s="215"/>
      <c r="N119" s="215"/>
      <c r="O119" s="215"/>
      <c r="U119" s="215"/>
    </row>
    <row r="120" spans="1:21" s="4" customFormat="1" ht="25.5" x14ac:dyDescent="0.2">
      <c r="A120" s="128" t="str">
        <f ca="1">OFFSET(PO!J$12,ROW(A120)-ROW($A$12),0)</f>
        <v>Serviço</v>
      </c>
      <c r="B120" s="130" t="str">
        <f ca="1">IF($A120=0,"",OFFSET(PO!K$12,ROW(B120)-ROW(B$12),0))</f>
        <v>5.0.2.</v>
      </c>
      <c r="C120" s="127" t="str">
        <f ca="1">IF(OFFSET(PO!N$12,ROW(C120)-ROW(C$12),0)=0,"",OFFSET(PO!N$12,ROW(C120)-ROW(C$12),0))</f>
        <v>FABRICAÇÃO, MONTAGEM E DESMONTAGEM DE FÔRMA PARA SAPATA, EM MADEIRA SERRADA, E=25 MM</v>
      </c>
      <c r="D120" s="129" t="str">
        <f ca="1">IF(OFFSET(PO!O$12,ROW(D120)-ROW(D$12),0)=0,"",OFFSET(PO!O$12,ROW(D120)-ROW(D$12),0))</f>
        <v>M2</v>
      </c>
      <c r="E120" s="165">
        <f ca="1">IF($A120&lt;&gt;"Serviço",0,ROUND(SUMIF($F$9:$P$9,"&lt;&gt;",$F120:$P120),15-13*PO!$X$3))</f>
        <v>6.4</v>
      </c>
      <c r="F120" s="215">
        <f ca="1">OFFSET(PO!$P$12,ROW($E120)-ROW(F$12),0)</f>
        <v>6.4</v>
      </c>
      <c r="G120" s="215"/>
      <c r="H120" s="215"/>
      <c r="I120" s="215"/>
      <c r="J120" s="215"/>
      <c r="K120" s="215"/>
      <c r="L120" s="215"/>
      <c r="M120" s="215"/>
      <c r="N120" s="215"/>
      <c r="O120" s="215"/>
      <c r="U120" s="215"/>
    </row>
    <row r="121" spans="1:21" s="4" customFormat="1" ht="51" x14ac:dyDescent="0.2">
      <c r="A121" s="128" t="str">
        <f ca="1">OFFSET(PO!J$12,ROW(A121)-ROW($A$12),0)</f>
        <v>Serviço</v>
      </c>
      <c r="B121" s="130" t="str">
        <f ca="1">IF($A121=0,"",OFFSET(PO!K$12,ROW(B121)-ROW(B$12),0))</f>
        <v>5.0.3.</v>
      </c>
      <c r="C121" s="127" t="str">
        <f ca="1">IF(OFFSET(PO!N$12,ROW(C121)-ROW(C$12),0)=0,"",OFFSET(PO!N$12,ROW(C121)-ROW(C$12),0))</f>
        <v>MONTAGEM E DESMONTAGEM DE FÔRMA DE PILARES RETANGULARES E ESTRUTURAS SIMILARES COM ÁREA MÉDIA DAS SEÇÕES MAIOR QUE 0,25 M², PÉ-DIREITO SIMPLES, EM CHAPA DE MADEIRA COMPENSADA RESINADA</v>
      </c>
      <c r="D121" s="129" t="str">
        <f ca="1">IF(OFFSET(PO!O$12,ROW(D121)-ROW(D$12),0)=0,"",OFFSET(PO!O$12,ROW(D121)-ROW(D$12),0))</f>
        <v>M2</v>
      </c>
      <c r="E121" s="165">
        <f ca="1">IF($A121&lt;&gt;"Serviço",0,ROUND(SUMIF($F$9:$P$9,"&lt;&gt;",$F121:$P121),15-13*PO!$X$3))</f>
        <v>17.78</v>
      </c>
      <c r="F121" s="215">
        <f ca="1">OFFSET(PO!$P$12,ROW($E121)-ROW(F$12),0)</f>
        <v>17.78</v>
      </c>
      <c r="G121" s="215"/>
      <c r="H121" s="215"/>
      <c r="I121" s="215"/>
      <c r="J121" s="215"/>
      <c r="K121" s="215"/>
      <c r="L121" s="215"/>
      <c r="M121" s="215"/>
      <c r="N121" s="215"/>
      <c r="O121" s="215"/>
      <c r="U121" s="215"/>
    </row>
    <row r="122" spans="1:21" s="4" customFormat="1" ht="38.25" x14ac:dyDescent="0.2">
      <c r="A122" s="128" t="str">
        <f ca="1">OFFSET(PO!J$12,ROW(A122)-ROW($A$12),0)</f>
        <v>Serviço</v>
      </c>
      <c r="B122" s="130" t="str">
        <f ca="1">IF($A122=0,"",OFFSET(PO!K$12,ROW(B122)-ROW(B$12),0))</f>
        <v>5.0.4.</v>
      </c>
      <c r="C122" s="127" t="str">
        <f ca="1">IF(OFFSET(PO!N$12,ROW(C122)-ROW(C$12),0)=0,"",OFFSET(PO!N$12,ROW(C122)-ROW(C$12),0))</f>
        <v>FABRICAÇÃO, MONTAGEM E DESMONTAGEM DE FÔRMA PARA CORTINA DE CONTENÇÃO, EM CHAPA DE MADEIRA COMPENSADA PLASTIFICADA, E = 18 MM</v>
      </c>
      <c r="D122" s="129" t="str">
        <f ca="1">IF(OFFSET(PO!O$12,ROW(D122)-ROW(D$12),0)=0,"",OFFSET(PO!O$12,ROW(D122)-ROW(D$12),0))</f>
        <v>M2</v>
      </c>
      <c r="E122" s="165">
        <f ca="1">IF($A122&lt;&gt;"Serviço",0,ROUND(SUMIF($F$9:$P$9,"&lt;&gt;",$F122:$P122),15-13*PO!$X$3))</f>
        <v>108.36</v>
      </c>
      <c r="F122" s="215">
        <f ca="1">OFFSET(PO!$P$12,ROW($E122)-ROW(F$12),0)</f>
        <v>108.36</v>
      </c>
      <c r="G122" s="215"/>
      <c r="H122" s="215"/>
      <c r="I122" s="215"/>
      <c r="J122" s="215"/>
      <c r="K122" s="215"/>
      <c r="L122" s="215"/>
      <c r="M122" s="215"/>
      <c r="N122" s="215"/>
      <c r="O122" s="215"/>
      <c r="U122" s="215"/>
    </row>
    <row r="123" spans="1:21" s="4" customFormat="1" ht="25.5" x14ac:dyDescent="0.2">
      <c r="A123" s="128" t="str">
        <f ca="1">OFFSET(PO!J$12,ROW(A123)-ROW($A$12),0)</f>
        <v>Serviço</v>
      </c>
      <c r="B123" s="130" t="str">
        <f ca="1">IF($A123=0,"",OFFSET(PO!K$12,ROW(B123)-ROW(B$12),0))</f>
        <v>5.0.5.</v>
      </c>
      <c r="C123" s="127" t="str">
        <f ca="1">IF(OFFSET(PO!N$12,ROW(C123)-ROW(C$12),0)=0,"",OFFSET(PO!N$12,ROW(C123)-ROW(C$12),0))</f>
        <v>LASTRO DE CONCRETO MAGRO, APLICADO EM BLOCOS DE COROAMENTO OU SAPATAS, ESPESSURA DE 3 CM</v>
      </c>
      <c r="D123" s="129" t="str">
        <f ca="1">IF(OFFSET(PO!O$12,ROW(D123)-ROW(D$12),0)=0,"",OFFSET(PO!O$12,ROW(D123)-ROW(D$12),0))</f>
        <v>M2</v>
      </c>
      <c r="E123" s="165">
        <f ca="1">IF($A123&lt;&gt;"Serviço",0,ROUND(SUMIF($F$9:$P$9,"&lt;&gt;",$F123:$P123),15-13*PO!$X$3))</f>
        <v>21.33</v>
      </c>
      <c r="F123" s="215">
        <f ca="1">OFFSET(PO!$P$12,ROW($E123)-ROW(F$12),0)</f>
        <v>21.33</v>
      </c>
      <c r="G123" s="215"/>
      <c r="H123" s="215"/>
      <c r="I123" s="215"/>
      <c r="J123" s="215"/>
      <c r="K123" s="215"/>
      <c r="L123" s="215"/>
      <c r="M123" s="215"/>
      <c r="N123" s="215"/>
      <c r="O123" s="215"/>
      <c r="U123" s="215"/>
    </row>
    <row r="124" spans="1:21" s="4" customFormat="1" ht="25.5" x14ac:dyDescent="0.2">
      <c r="A124" s="128" t="str">
        <f ca="1">OFFSET(PO!J$12,ROW(A124)-ROW($A$12),0)</f>
        <v>Serviço</v>
      </c>
      <c r="B124" s="130" t="str">
        <f ca="1">IF($A124=0,"",OFFSET(PO!K$12,ROW(B124)-ROW(B$12),0))</f>
        <v>5.0.6.</v>
      </c>
      <c r="C124" s="127" t="str">
        <f ca="1">IF(OFFSET(PO!N$12,ROW(C124)-ROW(C$12),0)=0,"",OFFSET(PO!N$12,ROW(C124)-ROW(C$12),0))</f>
        <v>ARMAÇÃO DE CORTINA DE CONTENÇÃO EM CONCRETO ARMADO, COM AÇO CA-50 DE 10 MM - MONTAGEM</v>
      </c>
      <c r="D124" s="129" t="str">
        <f ca="1">IF(OFFSET(PO!O$12,ROW(D124)-ROW(D$12),0)=0,"",OFFSET(PO!O$12,ROW(D124)-ROW(D$12),0))</f>
        <v>KG</v>
      </c>
      <c r="E124" s="165">
        <f ca="1">IF($A124&lt;&gt;"Serviço",0,ROUND(SUMIF($F$9:$P$9,"&lt;&gt;",$F124:$P124),15-13*PO!$X$3))</f>
        <v>1113.6300000000001</v>
      </c>
      <c r="F124" s="215">
        <f ca="1">OFFSET(PO!$P$12,ROW($E124)-ROW(F$12),0)</f>
        <v>1113.6300000000001</v>
      </c>
      <c r="G124" s="215"/>
      <c r="H124" s="215"/>
      <c r="I124" s="215"/>
      <c r="J124" s="215"/>
      <c r="K124" s="215"/>
      <c r="L124" s="215"/>
      <c r="M124" s="215"/>
      <c r="N124" s="215"/>
      <c r="O124" s="215"/>
      <c r="U124" s="215"/>
    </row>
    <row r="125" spans="1:21" s="4" customFormat="1" ht="51" x14ac:dyDescent="0.2">
      <c r="A125" s="128" t="str">
        <f ca="1">OFFSET(PO!J$12,ROW(A125)-ROW($A$12),0)</f>
        <v>Serviço</v>
      </c>
      <c r="B125" s="130" t="str">
        <f ca="1">IF($A125=0,"",OFFSET(PO!K$12,ROW(B125)-ROW(B$12),0))</f>
        <v>5.0.7.</v>
      </c>
      <c r="C125" s="127" t="str">
        <f ca="1">IF(OFFSET(PO!N$12,ROW(C125)-ROW(C$12),0)=0,"",OFFSET(PO!N$12,ROW(C125)-ROW(C$12),0))</f>
        <v>ARMAÇÃO DE PILAR OU VIGA DE UMA ESTRUTURA CONVENCIONAL DE CONCRETO ARMADO EM UMA EDIFICAÇÃO TÉRREA OU SOBRADO UTILIZANDO AÇO CA-50 DE 12,5 MM - MONTAGEM</v>
      </c>
      <c r="D125" s="129" t="str">
        <f ca="1">IF(OFFSET(PO!O$12,ROW(D125)-ROW(D$12),0)=0,"",OFFSET(PO!O$12,ROW(D125)-ROW(D$12),0))</f>
        <v>KG</v>
      </c>
      <c r="E125" s="165">
        <f ca="1">IF($A125&lt;&gt;"Serviço",0,ROUND(SUMIF($F$9:$P$9,"&lt;&gt;",$F125:$P125),15-13*PO!$X$3))</f>
        <v>62.8</v>
      </c>
      <c r="F125" s="215">
        <f ca="1">OFFSET(PO!$P$12,ROW($E125)-ROW(F$12),0)</f>
        <v>62.8</v>
      </c>
      <c r="G125" s="215"/>
      <c r="H125" s="215"/>
      <c r="I125" s="215"/>
      <c r="J125" s="215"/>
      <c r="K125" s="215"/>
      <c r="L125" s="215"/>
      <c r="M125" s="215"/>
      <c r="N125" s="215"/>
      <c r="O125" s="215"/>
      <c r="U125" s="215"/>
    </row>
    <row r="126" spans="1:21" s="4" customFormat="1" ht="51" x14ac:dyDescent="0.2">
      <c r="A126" s="128" t="str">
        <f ca="1">OFFSET(PO!J$12,ROW(A126)-ROW($A$12),0)</f>
        <v>Serviço</v>
      </c>
      <c r="B126" s="130" t="str">
        <f ca="1">IF($A126=0,"",OFFSET(PO!K$12,ROW(B126)-ROW(B$12),0))</f>
        <v>5.0.8.</v>
      </c>
      <c r="C126" s="127" t="str">
        <f ca="1">IF(OFFSET(PO!N$12,ROW(C126)-ROW(C$12),0)=0,"",OFFSET(PO!N$12,ROW(C126)-ROW(C$12),0))</f>
        <v>ARMAÇÃO DE PILAR OU VIGA DE UMA ESTRUTURA CONVENCIONAL DE CONCRETO ARMADO EM UMA EDIFICAÇÃO TÉRREA OU SOBRADO UTILIZANDO AÇO CA-50 DE 6,3 MM - MONTAGEM</v>
      </c>
      <c r="D126" s="129" t="str">
        <f ca="1">IF(OFFSET(PO!O$12,ROW(D126)-ROW(D$12),0)=0,"",OFFSET(PO!O$12,ROW(D126)-ROW(D$12),0))</f>
        <v>KG</v>
      </c>
      <c r="E126" s="165">
        <f ca="1">IF($A126&lt;&gt;"Serviço",0,ROUND(SUMIF($F$9:$P$9,"&lt;&gt;",$F126:$P126),15-13*PO!$X$3))</f>
        <v>31.86</v>
      </c>
      <c r="F126" s="215">
        <f ca="1">OFFSET(PO!$P$12,ROW($E126)-ROW(F$12),0)</f>
        <v>31.86</v>
      </c>
      <c r="G126" s="215"/>
      <c r="H126" s="215"/>
      <c r="I126" s="215"/>
      <c r="J126" s="215"/>
      <c r="K126" s="215"/>
      <c r="L126" s="215"/>
      <c r="M126" s="215"/>
      <c r="N126" s="215"/>
      <c r="O126" s="215"/>
      <c r="U126" s="215"/>
    </row>
    <row r="127" spans="1:21" s="4" customFormat="1" ht="25.5" x14ac:dyDescent="0.2">
      <c r="A127" s="128" t="str">
        <f ca="1">OFFSET(PO!J$12,ROW(A127)-ROW($A$12),0)</f>
        <v>Serviço</v>
      </c>
      <c r="B127" s="130" t="str">
        <f ca="1">IF($A127=0,"",OFFSET(PO!K$12,ROW(B127)-ROW(B$12),0))</f>
        <v>5.0.9.</v>
      </c>
      <c r="C127" s="127" t="str">
        <f ca="1">IF(OFFSET(PO!N$12,ROW(C127)-ROW(C$12),0)=0,"",OFFSET(PO!N$12,ROW(C127)-ROW(C$12),0))</f>
        <v>CONCRETAGEM DE SAPATAS, FCK 30 MPA, COM USO DE BOMBA  LANÇAMENTO, ADENSAMENTO E ACABAMENTO</v>
      </c>
      <c r="D127" s="129" t="str">
        <f ca="1">IF(OFFSET(PO!O$12,ROW(D127)-ROW(D$12),0)=0,"",OFFSET(PO!O$12,ROW(D127)-ROW(D$12),0))</f>
        <v>M3</v>
      </c>
      <c r="E127" s="165">
        <f ca="1">IF($A127&lt;&gt;"Serviço",0,ROUND(SUMIF($F$9:$P$9,"&lt;&gt;",$F127:$P127),15-13*PO!$X$3))</f>
        <v>6.4</v>
      </c>
      <c r="F127" s="215">
        <f ca="1">OFFSET(PO!$P$12,ROW($E127)-ROW(F$12),0)</f>
        <v>6.4</v>
      </c>
      <c r="G127" s="215"/>
      <c r="H127" s="215"/>
      <c r="I127" s="215"/>
      <c r="J127" s="215"/>
      <c r="K127" s="215"/>
      <c r="L127" s="215"/>
      <c r="M127" s="215"/>
      <c r="N127" s="215"/>
      <c r="O127" s="215"/>
      <c r="U127" s="215"/>
    </row>
    <row r="128" spans="1:21" s="4" customFormat="1" ht="38.25" x14ac:dyDescent="0.2">
      <c r="A128" s="128" t="str">
        <f ca="1">OFFSET(PO!J$12,ROW(A128)-ROW($A$12),0)</f>
        <v>Serviço</v>
      </c>
      <c r="B128" s="130" t="str">
        <f ca="1">IF($A128=0,"",OFFSET(PO!K$12,ROW(B128)-ROW(B$12),0))</f>
        <v>5.0.10.</v>
      </c>
      <c r="C128" s="127" t="str">
        <f ca="1">IF(OFFSET(PO!N$12,ROW(C128)-ROW(C$12),0)=0,"",OFFSET(PO!N$12,ROW(C128)-ROW(C$12),0))</f>
        <v>CONCRETAGEM DE CORTINA DE CONTENÇÃO, INCLUSIVE CONTRA-FORTES, FCK 30 MPA, ATRAVÉS DE BOMBA   LANÇAMENTO, ADENSAMENTO E ACABAMENTO</v>
      </c>
      <c r="D128" s="129" t="str">
        <f ca="1">IF(OFFSET(PO!O$12,ROW(D128)-ROW(D$12),0)=0,"",OFFSET(PO!O$12,ROW(D128)-ROW(D$12),0))</f>
        <v>M3</v>
      </c>
      <c r="E128" s="165">
        <f ca="1">IF($A128&lt;&gt;"Serviço",0,ROUND(SUMIF($F$9:$P$9,"&lt;&gt;",$F128:$P128),15-13*PO!$X$3))</f>
        <v>12.35</v>
      </c>
      <c r="F128" s="215">
        <f ca="1">OFFSET(PO!$P$12,ROW($E128)-ROW(F$12),0)</f>
        <v>12.35</v>
      </c>
      <c r="G128" s="215"/>
      <c r="H128" s="215"/>
      <c r="I128" s="215"/>
      <c r="J128" s="215"/>
      <c r="K128" s="215"/>
      <c r="L128" s="215"/>
      <c r="M128" s="215"/>
      <c r="N128" s="215"/>
      <c r="O128" s="215"/>
      <c r="U128" s="215"/>
    </row>
    <row r="129" spans="1:21" s="4" customFormat="1" ht="38.25" x14ac:dyDescent="0.2">
      <c r="A129" s="128" t="str">
        <f ca="1">OFFSET(PO!J$12,ROW(A129)-ROW($A$12),0)</f>
        <v>Serviço</v>
      </c>
      <c r="B129" s="130" t="str">
        <f ca="1">IF($A129=0,"",OFFSET(PO!K$12,ROW(B129)-ROW(B$12),0))</f>
        <v>5.0.11.</v>
      </c>
      <c r="C129" s="127" t="str">
        <f ca="1">IF(OFFSET(PO!N$12,ROW(C129)-ROW(C$12),0)=0,"",OFFSET(PO!N$12,ROW(C129)-ROW(C$12),0))</f>
        <v>REATERRO MECANIZADO COM ESCAVADEIRA HIDRÁULICA COM SOLO DE 1ª CATEGORIA EM LOCAIS COM BAIXO NÍVEL DE INTERFERÊNCIA</v>
      </c>
      <c r="D129" s="129" t="str">
        <f ca="1">IF(OFFSET(PO!O$12,ROW(D129)-ROW(D$12),0)=0,"",OFFSET(PO!O$12,ROW(D129)-ROW(D$12),0))</f>
        <v>M3</v>
      </c>
      <c r="E129" s="165">
        <f ca="1">IF($A129&lt;&gt;"Serviço",0,ROUND(SUMIF($F$9:$P$9,"&lt;&gt;",$F129:$P129),15-13*PO!$X$3))</f>
        <v>38.840000000000003</v>
      </c>
      <c r="F129" s="215">
        <f ca="1">OFFSET(PO!$P$12,ROW($E129)-ROW(F$12),0)</f>
        <v>38.840000000000003</v>
      </c>
      <c r="G129" s="215"/>
      <c r="H129" s="215"/>
      <c r="I129" s="215"/>
      <c r="J129" s="215"/>
      <c r="K129" s="215"/>
      <c r="L129" s="215"/>
      <c r="M129" s="215"/>
      <c r="N129" s="215"/>
      <c r="O129" s="215"/>
      <c r="U129" s="215"/>
    </row>
    <row r="130" spans="1:21" s="4" customFormat="1" ht="25.5" x14ac:dyDescent="0.2">
      <c r="A130" s="128" t="str">
        <f ca="1">OFFSET(PO!J$12,ROW(A130)-ROW($A$12),0)</f>
        <v>Serviço</v>
      </c>
      <c r="B130" s="130" t="str">
        <f ca="1">IF($A130=0,"",OFFSET(PO!K$12,ROW(B130)-ROW(B$12),0))</f>
        <v>5.0.12.</v>
      </c>
      <c r="C130" s="127" t="str">
        <f ca="1">IF(OFFSET(PO!N$12,ROW(C130)-ROW(C$12),0)=0,"",OFFSET(PO!N$12,ROW(C130)-ROW(C$12),0))</f>
        <v>EXECUCAO DE DRENO COM TUBOS DE PVC CORRUGADO FLEXIVEL PERFURADO - DN 100</v>
      </c>
      <c r="D130" s="129" t="str">
        <f ca="1">IF(OFFSET(PO!O$12,ROW(D130)-ROW(D$12),0)=0,"",OFFSET(PO!O$12,ROW(D130)-ROW(D$12),0))</f>
        <v>M</v>
      </c>
      <c r="E130" s="165">
        <f ca="1">IF($A130&lt;&gt;"Serviço",0,ROUND(SUMIF($F$9:$P$9,"&lt;&gt;",$F130:$P130),15-13*PO!$X$3))</f>
        <v>21.33</v>
      </c>
      <c r="F130" s="215">
        <f ca="1">OFFSET(PO!$P$12,ROW($E130)-ROW(F$12),0)</f>
        <v>21.33</v>
      </c>
      <c r="G130" s="215"/>
      <c r="H130" s="215"/>
      <c r="I130" s="215"/>
      <c r="J130" s="215"/>
      <c r="K130" s="215"/>
      <c r="L130" s="215"/>
      <c r="M130" s="215"/>
      <c r="N130" s="215"/>
      <c r="O130" s="215"/>
      <c r="U130" s="215"/>
    </row>
    <row r="131" spans="1:21" s="4" customFormat="1" x14ac:dyDescent="0.2">
      <c r="A131" s="128" t="str">
        <f ca="1">OFFSET(PO!J$12,ROW(A131)-ROW($A$12),0)</f>
        <v>Meta</v>
      </c>
      <c r="B131" s="130" t="str">
        <f ca="1">IF($A131=0,"",OFFSET(PO!K$12,ROW(B131)-ROW(B$12),0))</f>
        <v>6.</v>
      </c>
      <c r="C131" s="127" t="str">
        <f ca="1">IF(OFFSET(PO!N$12,ROW(C131)-ROW(C$12),0)=0,"",OFFSET(PO!N$12,ROW(C131)-ROW(C$12),0))</f>
        <v>SERVIÇOS FINAIS</v>
      </c>
      <c r="D131" s="129" t="str">
        <f ca="1">IF(OFFSET(PO!O$12,ROW(D131)-ROW(D$12),0)=0,"",OFFSET(PO!O$12,ROW(D131)-ROW(D$12),0))</f>
        <v/>
      </c>
      <c r="E131" s="165">
        <f ca="1">IF($A131&lt;&gt;"Serviço",0,ROUND(SUMIF($F$9:$P$9,"&lt;&gt;",$F131:$P131),15-13*PO!$X$3))</f>
        <v>0</v>
      </c>
      <c r="F131" s="215">
        <f ca="1">OFFSET(PO!$P$12,ROW($E131)-ROW(F$12),0)</f>
        <v>0</v>
      </c>
      <c r="G131" s="215"/>
      <c r="H131" s="215"/>
      <c r="I131" s="215"/>
      <c r="J131" s="215"/>
      <c r="K131" s="215"/>
      <c r="L131" s="215"/>
      <c r="M131" s="215"/>
      <c r="N131" s="215"/>
      <c r="O131" s="215"/>
      <c r="U131" s="215"/>
    </row>
    <row r="132" spans="1:21" s="4" customFormat="1" ht="25.5" x14ac:dyDescent="0.2">
      <c r="A132" s="128" t="str">
        <f ca="1">OFFSET(PO!J$12,ROW(A132)-ROW($A$12),0)</f>
        <v>Serviço</v>
      </c>
      <c r="B132" s="130" t="str">
        <f ca="1">IF($A132=0,"",OFFSET(PO!K$12,ROW(B132)-ROW(B$12),0))</f>
        <v>6.0.1.</v>
      </c>
      <c r="C132" s="127" t="str">
        <f ca="1">IF(OFFSET(PO!N$12,ROW(C132)-ROW(C$12),0)=0,"",OFFSET(PO!N$12,ROW(C132)-ROW(C$12),0))</f>
        <v>LIMPEZA DE PISO CERÂMICO OU PORCELANATO COM PANO ÚMIDO</v>
      </c>
      <c r="D132" s="129" t="str">
        <f ca="1">IF(OFFSET(PO!O$12,ROW(D132)-ROW(D$12),0)=0,"",OFFSET(PO!O$12,ROW(D132)-ROW(D$12),0))</f>
        <v>M2</v>
      </c>
      <c r="E132" s="165">
        <f ca="1">IF($A132&lt;&gt;"Serviço",0,ROUND(SUMIF($F$9:$P$9,"&lt;&gt;",$F132:$P132),15-13*PO!$X$3))</f>
        <v>322.97000000000003</v>
      </c>
      <c r="F132" s="215">
        <f ca="1">OFFSET(PO!$P$12,ROW($E132)-ROW(F$12),0)</f>
        <v>322.97000000000003</v>
      </c>
      <c r="G132" s="215"/>
      <c r="H132" s="215"/>
      <c r="I132" s="215"/>
      <c r="J132" s="215"/>
      <c r="K132" s="215"/>
      <c r="L132" s="215"/>
      <c r="M132" s="215"/>
      <c r="N132" s="215"/>
      <c r="O132" s="215"/>
      <c r="U132" s="215"/>
    </row>
    <row r="133" spans="1:21" s="4" customFormat="1" ht="25.5" x14ac:dyDescent="0.2">
      <c r="A133" s="128" t="str">
        <f ca="1">OFFSET(PO!J$12,ROW(A133)-ROW($A$12),0)</f>
        <v>Serviço</v>
      </c>
      <c r="B133" s="130" t="str">
        <f ca="1">IF($A133=0,"",OFFSET(PO!K$12,ROW(B133)-ROW(B$12),0))</f>
        <v>6.0.2.</v>
      </c>
      <c r="C133" s="127" t="str">
        <f ca="1">IF(OFFSET(PO!N$12,ROW(C133)-ROW(C$12),0)=0,"",OFFSET(PO!N$12,ROW(C133)-ROW(C$12),0))</f>
        <v>LIMPEZA DE REVESTIMENTO CERÂMICO EM PAREDE COM PANO ÚMIDO</v>
      </c>
      <c r="D133" s="129" t="str">
        <f ca="1">IF(OFFSET(PO!O$12,ROW(D133)-ROW(D$12),0)=0,"",OFFSET(PO!O$12,ROW(D133)-ROW(D$12),0))</f>
        <v>M2</v>
      </c>
      <c r="E133" s="165">
        <f ca="1">IF($A133&lt;&gt;"Serviço",0,ROUND(SUMIF($F$9:$P$9,"&lt;&gt;",$F133:$P133),15-13*PO!$X$3))</f>
        <v>508.71</v>
      </c>
      <c r="F133" s="215">
        <f ca="1">OFFSET(PO!$P$12,ROW($E133)-ROW(F$12),0)</f>
        <v>508.71</v>
      </c>
      <c r="G133" s="215"/>
      <c r="H133" s="215"/>
      <c r="I133" s="215"/>
      <c r="J133" s="215"/>
      <c r="K133" s="215"/>
      <c r="L133" s="215"/>
      <c r="M133" s="215"/>
      <c r="N133" s="215"/>
      <c r="O133" s="215"/>
      <c r="U133" s="215"/>
    </row>
    <row r="134" spans="1:21" s="4" customFormat="1" x14ac:dyDescent="0.2">
      <c r="A134" s="83"/>
      <c r="B134" s="83"/>
      <c r="C134" s="83"/>
      <c r="D134" s="83"/>
      <c r="E134" s="83"/>
      <c r="F134" s="83"/>
      <c r="G134" s="83"/>
      <c r="H134" s="83"/>
      <c r="I134" s="83"/>
      <c r="J134" s="83"/>
      <c r="K134" s="83"/>
      <c r="L134" s="83"/>
      <c r="M134" s="83"/>
      <c r="N134" s="83"/>
      <c r="O134" s="83"/>
      <c r="U134" s="83"/>
    </row>
    <row r="135" spans="1:21" s="4" customFormat="1" x14ac:dyDescent="0.2">
      <c r="B135" s="9"/>
      <c r="C135" s="14"/>
      <c r="D135" s="9"/>
      <c r="E135" s="16"/>
      <c r="F135" s="16"/>
      <c r="G135" s="16"/>
      <c r="H135" s="16"/>
      <c r="I135" s="16"/>
      <c r="J135" s="16"/>
      <c r="K135" s="16"/>
      <c r="L135" s="16"/>
      <c r="M135" s="16"/>
      <c r="N135" s="16"/>
      <c r="O135" s="16"/>
      <c r="U135" s="16"/>
    </row>
    <row r="136" spans="1:21" s="4" customFormat="1" x14ac:dyDescent="0.2">
      <c r="B136" s="369" t="str">
        <f>PO!$K$145</f>
        <v>GUAPORÉ/RS</v>
      </c>
      <c r="C136" s="369"/>
      <c r="D136" s="9"/>
      <c r="E136" s="16"/>
      <c r="F136" s="16"/>
      <c r="G136" s="16"/>
      <c r="H136" s="16"/>
      <c r="I136" s="16"/>
      <c r="J136" s="16"/>
      <c r="K136" s="16"/>
      <c r="L136" s="16"/>
      <c r="M136" s="16"/>
      <c r="N136" s="16"/>
      <c r="O136" s="16"/>
      <c r="U136" s="16"/>
    </row>
    <row r="137" spans="1:21" s="4" customFormat="1" x14ac:dyDescent="0.2">
      <c r="B137" s="113" t="s">
        <v>120</v>
      </c>
      <c r="C137" s="14"/>
      <c r="D137" s="9"/>
      <c r="E137" s="16"/>
      <c r="F137" s="16"/>
      <c r="G137" s="16"/>
      <c r="H137" s="16"/>
      <c r="I137" s="16"/>
      <c r="J137" s="16"/>
      <c r="K137" s="16"/>
      <c r="L137" s="16"/>
      <c r="M137" s="16"/>
      <c r="N137" s="16"/>
      <c r="O137" s="16"/>
      <c r="U137" s="16"/>
    </row>
    <row r="138" spans="1:21" s="4" customFormat="1" x14ac:dyDescent="0.2">
      <c r="B138" s="14"/>
      <c r="C138" s="14"/>
      <c r="D138" s="9"/>
      <c r="E138" s="16"/>
      <c r="F138" s="16"/>
      <c r="G138" s="16"/>
      <c r="H138" s="16"/>
      <c r="I138" s="16"/>
      <c r="J138" s="16"/>
      <c r="K138" s="16"/>
      <c r="L138" s="16"/>
      <c r="M138" s="16"/>
      <c r="N138" s="16"/>
      <c r="O138" s="16"/>
      <c r="U138" s="16"/>
    </row>
    <row r="139" spans="1:21" s="4" customFormat="1" x14ac:dyDescent="0.2">
      <c r="B139" s="370">
        <f ca="1">PO!$K$148</f>
        <v>44068</v>
      </c>
      <c r="C139" s="370"/>
      <c r="D139" s="9"/>
      <c r="E139" s="16"/>
      <c r="F139" s="16"/>
      <c r="G139" s="16"/>
      <c r="H139" s="16"/>
      <c r="I139" s="16"/>
      <c r="J139" s="16"/>
      <c r="K139" s="16"/>
      <c r="L139" s="16"/>
      <c r="M139" s="16"/>
      <c r="N139" s="16"/>
      <c r="O139" s="16"/>
      <c r="U139" s="16"/>
    </row>
    <row r="140" spans="1:21" s="4" customFormat="1" x14ac:dyDescent="0.2">
      <c r="B140" s="142" t="s">
        <v>121</v>
      </c>
      <c r="C140" s="143"/>
      <c r="D140" s="9"/>
      <c r="E140" s="16"/>
      <c r="F140" s="16"/>
      <c r="G140" s="16"/>
      <c r="H140" s="16"/>
      <c r="I140" s="16"/>
      <c r="J140" s="16"/>
      <c r="K140" s="16"/>
      <c r="L140" s="16"/>
      <c r="M140" s="16"/>
      <c r="N140" s="16"/>
      <c r="O140" s="16"/>
      <c r="U140" s="16"/>
    </row>
  </sheetData>
  <sheetProtection algorithmName="SHA-512" hashValue="hvMR82gvYm1ldOr2Lic1zXYKLYv4sat8vftt4EteVWjMMOzTNEWCRCnjdDGQYDJ1J7dV0zDC95c5w08UPhqJcQ==" saltValue="wrNNX/fwlIBs+hFqWxUi6Q==" spinCount="100000" sheet="1" objects="1" scenarios="1"/>
  <mergeCells count="2">
    <mergeCell ref="B136:C136"/>
    <mergeCell ref="B139:C139"/>
  </mergeCells>
  <phoneticPr fontId="25" type="noConversion"/>
  <conditionalFormatting sqref="D11:E11 D32:E32 D13:E14 D16:E17 D19:E20 D25:E25 D27:E28 D36:E36 D50:E55 D98:E103 D64:E64 D80:E81 D70:E71 D118:E129 D110:E110 D114:E115 D40:E41 D38:E38 D83:E85 D87:E88 D48:E48 D43:E46 D95:E95 D90:E93 D131:E131">
    <cfRule type="expression" dxfId="513" priority="1470" stopIfTrue="1">
      <formula>$A11="Meta"</formula>
    </cfRule>
    <cfRule type="expression" dxfId="512" priority="1471" stopIfTrue="1">
      <formula>$A11&lt;&gt;"Serviço"</formula>
    </cfRule>
  </conditionalFormatting>
  <conditionalFormatting sqref="C11 C32 C13:C14 C16:C17 C19:C20 C25 C27:C28 C36 C50:C55 C98:C103 C64 C80:C81 C70:C71 C118:C129 C110 C114:C115 C40:C41 C38 C83:C85 C87:C88 C48 C43:C46 C95 C90:C93 C131">
    <cfRule type="expression" dxfId="511" priority="1472" stopIfTrue="1">
      <formula>$A11="Meta"</formula>
    </cfRule>
    <cfRule type="expression" dxfId="510" priority="1473" stopIfTrue="1">
      <formula>$A11&lt;&gt;"Serviço"</formula>
    </cfRule>
  </conditionalFormatting>
  <conditionalFormatting sqref="A11:B11 A32:B32 A13:B14 A16:B17 A19:B20 A25:B25 A27:B28 A36:B36 A50:B55 A98:B103 A64:B64 A80:B81 A70:B71 A118:B129 A110:B110 A114:B115 A40:B41 A38:B38 A83:B85 A87:B88 A48:B48 A43:B46 A95:B95 A90:B93 A131:B131">
    <cfRule type="expression" dxfId="509" priority="1474" stopIfTrue="1">
      <formula>$A11="Meta"</formula>
    </cfRule>
    <cfRule type="expression" dxfId="508" priority="1475" stopIfTrue="1">
      <formula>LEFT($A11,5)="Nível"</formula>
    </cfRule>
    <cfRule type="expression" dxfId="507" priority="1476" stopIfTrue="1">
      <formula>$A11=0</formula>
    </cfRule>
  </conditionalFormatting>
  <conditionalFormatting sqref="U11 U13:U17 F13:O17 F19:O22 U19:U22 U25 F25:O25 U27:U59 F27:O59 F98:O107 U98:U107 U110:U129 F110:O129 F64:O96 U64:U96 F131:O133 U131:U133">
    <cfRule type="expression" dxfId="506" priority="1486" stopIfTrue="1">
      <formula>$A11="Meta"</formula>
    </cfRule>
    <cfRule type="expression" dxfId="505" priority="1487" stopIfTrue="1">
      <formula>OR(F$9=0,$A11&lt;&gt;"Serviço")</formula>
    </cfRule>
    <cfRule type="expression" dxfId="504" priority="1488" stopIfTrue="1">
      <formula>TipoOrçamento="Licitado"</formula>
    </cfRule>
  </conditionalFormatting>
  <conditionalFormatting sqref="U9">
    <cfRule type="expression" dxfId="503" priority="908" stopIfTrue="1">
      <formula>AND(T9=0,U9=0)</formula>
    </cfRule>
    <cfRule type="expression" dxfId="502" priority="909" stopIfTrue="1">
      <formula>TipoOrçamento="Licitado"</formula>
    </cfRule>
  </conditionalFormatting>
  <conditionalFormatting sqref="F11:O11">
    <cfRule type="expression" dxfId="501" priority="868" stopIfTrue="1">
      <formula>$A11="Meta"</formula>
    </cfRule>
    <cfRule type="expression" dxfId="500" priority="869" stopIfTrue="1">
      <formula>OR(F$9=0,$A11&lt;&gt;"Serviço")</formula>
    </cfRule>
    <cfRule type="expression" dxfId="499" priority="870" stopIfTrue="1">
      <formula>TipoOrçamento="Licitado"</formula>
    </cfRule>
  </conditionalFormatting>
  <conditionalFormatting sqref="F9:O9">
    <cfRule type="expression" dxfId="498" priority="866" stopIfTrue="1">
      <formula>AND(E9=0,F9=0)</formula>
    </cfRule>
    <cfRule type="expression" dxfId="497" priority="867" stopIfTrue="1">
      <formula>TipoOrçamento="Licitado"</formula>
    </cfRule>
  </conditionalFormatting>
  <conditionalFormatting sqref="D30:E30 D132:E133">
    <cfRule type="expression" dxfId="496" priority="680" stopIfTrue="1">
      <formula>$A30="Meta"</formula>
    </cfRule>
    <cfRule type="expression" dxfId="495" priority="681" stopIfTrue="1">
      <formula>$A30&lt;&gt;"Serviço"</formula>
    </cfRule>
  </conditionalFormatting>
  <conditionalFormatting sqref="C30 C132:C133">
    <cfRule type="expression" dxfId="494" priority="682" stopIfTrue="1">
      <formula>$A30="Meta"</formula>
    </cfRule>
    <cfRule type="expression" dxfId="493" priority="683" stopIfTrue="1">
      <formula>$A30&lt;&gt;"Serviço"</formula>
    </cfRule>
  </conditionalFormatting>
  <conditionalFormatting sqref="A30:B30 A132:B133">
    <cfRule type="expression" dxfId="492" priority="684" stopIfTrue="1">
      <formula>$A30="Meta"</formula>
    </cfRule>
    <cfRule type="expression" dxfId="491" priority="685" stopIfTrue="1">
      <formula>LEFT($A30,5)="Nível"</formula>
    </cfRule>
    <cfRule type="expression" dxfId="490" priority="686" stopIfTrue="1">
      <formula>$A30=0</formula>
    </cfRule>
  </conditionalFormatting>
  <conditionalFormatting sqref="D31:E31">
    <cfRule type="expression" dxfId="489" priority="667" stopIfTrue="1">
      <formula>$A31="Meta"</formula>
    </cfRule>
    <cfRule type="expression" dxfId="488" priority="668" stopIfTrue="1">
      <formula>$A31&lt;&gt;"Serviço"</formula>
    </cfRule>
  </conditionalFormatting>
  <conditionalFormatting sqref="C31">
    <cfRule type="expression" dxfId="487" priority="669" stopIfTrue="1">
      <formula>$A31="Meta"</formula>
    </cfRule>
    <cfRule type="expression" dxfId="486" priority="670" stopIfTrue="1">
      <formula>$A31&lt;&gt;"Serviço"</formula>
    </cfRule>
  </conditionalFormatting>
  <conditionalFormatting sqref="A31:B31">
    <cfRule type="expression" dxfId="485" priority="671" stopIfTrue="1">
      <formula>$A31="Meta"</formula>
    </cfRule>
    <cfRule type="expression" dxfId="484" priority="672" stopIfTrue="1">
      <formula>LEFT($A31,5)="Nível"</formula>
    </cfRule>
    <cfRule type="expression" dxfId="483" priority="673" stopIfTrue="1">
      <formula>$A31=0</formula>
    </cfRule>
  </conditionalFormatting>
  <conditionalFormatting sqref="D21:E21">
    <cfRule type="expression" dxfId="482" priority="628" stopIfTrue="1">
      <formula>$A21="Meta"</formula>
    </cfRule>
    <cfRule type="expression" dxfId="481" priority="629" stopIfTrue="1">
      <formula>$A21&lt;&gt;"Serviço"</formula>
    </cfRule>
  </conditionalFormatting>
  <conditionalFormatting sqref="C21">
    <cfRule type="expression" dxfId="480" priority="630" stopIfTrue="1">
      <formula>$A21="Meta"</formula>
    </cfRule>
    <cfRule type="expression" dxfId="479" priority="631" stopIfTrue="1">
      <formula>$A21&lt;&gt;"Serviço"</formula>
    </cfRule>
  </conditionalFormatting>
  <conditionalFormatting sqref="A21:B21">
    <cfRule type="expression" dxfId="478" priority="632" stopIfTrue="1">
      <formula>$A21="Meta"</formula>
    </cfRule>
    <cfRule type="expression" dxfId="477" priority="633" stopIfTrue="1">
      <formula>LEFT($A21,5)="Nível"</formula>
    </cfRule>
    <cfRule type="expression" dxfId="476" priority="634" stopIfTrue="1">
      <formula>$A21=0</formula>
    </cfRule>
  </conditionalFormatting>
  <conditionalFormatting sqref="D22:E22">
    <cfRule type="expression" dxfId="475" priority="615" stopIfTrue="1">
      <formula>$A22="Meta"</formula>
    </cfRule>
    <cfRule type="expression" dxfId="474" priority="616" stopIfTrue="1">
      <formula>$A22&lt;&gt;"Serviço"</formula>
    </cfRule>
  </conditionalFormatting>
  <conditionalFormatting sqref="C22">
    <cfRule type="expression" dxfId="473" priority="617" stopIfTrue="1">
      <formula>$A22="Meta"</formula>
    </cfRule>
    <cfRule type="expression" dxfId="472" priority="618" stopIfTrue="1">
      <formula>$A22&lt;&gt;"Serviço"</formula>
    </cfRule>
  </conditionalFormatting>
  <conditionalFormatting sqref="A22:B22">
    <cfRule type="expression" dxfId="471" priority="619" stopIfTrue="1">
      <formula>$A22="Meta"</formula>
    </cfRule>
    <cfRule type="expression" dxfId="470" priority="620" stopIfTrue="1">
      <formula>LEFT($A22,5)="Nível"</formula>
    </cfRule>
    <cfRule type="expression" dxfId="469" priority="621" stopIfTrue="1">
      <formula>$A22=0</formula>
    </cfRule>
  </conditionalFormatting>
  <conditionalFormatting sqref="D82:E82">
    <cfRule type="expression" dxfId="468" priority="576" stopIfTrue="1">
      <formula>$A82="Meta"</formula>
    </cfRule>
    <cfRule type="expression" dxfId="467" priority="577" stopIfTrue="1">
      <formula>$A82&lt;&gt;"Serviço"</formula>
    </cfRule>
  </conditionalFormatting>
  <conditionalFormatting sqref="C82">
    <cfRule type="expression" dxfId="466" priority="578" stopIfTrue="1">
      <formula>$A82="Meta"</formula>
    </cfRule>
    <cfRule type="expression" dxfId="465" priority="579" stopIfTrue="1">
      <formula>$A82&lt;&gt;"Serviço"</formula>
    </cfRule>
  </conditionalFormatting>
  <conditionalFormatting sqref="A82:B82">
    <cfRule type="expression" dxfId="464" priority="580" stopIfTrue="1">
      <formula>$A82="Meta"</formula>
    </cfRule>
    <cfRule type="expression" dxfId="463" priority="581" stopIfTrue="1">
      <formula>LEFT($A82,5)="Nível"</formula>
    </cfRule>
    <cfRule type="expression" dxfId="462" priority="582" stopIfTrue="1">
      <formula>$A82=0</formula>
    </cfRule>
  </conditionalFormatting>
  <conditionalFormatting sqref="D33:E33 D35:E35">
    <cfRule type="expression" dxfId="461" priority="563" stopIfTrue="1">
      <formula>$A33="Meta"</formula>
    </cfRule>
    <cfRule type="expression" dxfId="460" priority="564" stopIfTrue="1">
      <formula>$A33&lt;&gt;"Serviço"</formula>
    </cfRule>
  </conditionalFormatting>
  <conditionalFormatting sqref="C33 C35">
    <cfRule type="expression" dxfId="459" priority="565" stopIfTrue="1">
      <formula>$A33="Meta"</formula>
    </cfRule>
    <cfRule type="expression" dxfId="458" priority="566" stopIfTrue="1">
      <formula>$A33&lt;&gt;"Serviço"</formula>
    </cfRule>
  </conditionalFormatting>
  <conditionalFormatting sqref="A33:B33 A35:B35">
    <cfRule type="expression" dxfId="457" priority="567" stopIfTrue="1">
      <formula>$A33="Meta"</formula>
    </cfRule>
    <cfRule type="expression" dxfId="456" priority="568" stopIfTrue="1">
      <formula>LEFT($A33,5)="Nível"</formula>
    </cfRule>
    <cfRule type="expression" dxfId="455" priority="569" stopIfTrue="1">
      <formula>$A33=0</formula>
    </cfRule>
  </conditionalFormatting>
  <conditionalFormatting sqref="D34:E34">
    <cfRule type="expression" dxfId="454" priority="550" stopIfTrue="1">
      <formula>$A34="Meta"</formula>
    </cfRule>
    <cfRule type="expression" dxfId="453" priority="551" stopIfTrue="1">
      <formula>$A34&lt;&gt;"Serviço"</formula>
    </cfRule>
  </conditionalFormatting>
  <conditionalFormatting sqref="C34">
    <cfRule type="expression" dxfId="452" priority="552" stopIfTrue="1">
      <formula>$A34="Meta"</formula>
    </cfRule>
    <cfRule type="expression" dxfId="451" priority="553" stopIfTrue="1">
      <formula>$A34&lt;&gt;"Serviço"</formula>
    </cfRule>
  </conditionalFormatting>
  <conditionalFormatting sqref="A34:B34">
    <cfRule type="expression" dxfId="450" priority="554" stopIfTrue="1">
      <formula>$A34="Meta"</formula>
    </cfRule>
    <cfRule type="expression" dxfId="449" priority="555" stopIfTrue="1">
      <formula>LEFT($A34,5)="Nível"</formula>
    </cfRule>
    <cfRule type="expression" dxfId="448" priority="556" stopIfTrue="1">
      <formula>$A34=0</formula>
    </cfRule>
  </conditionalFormatting>
  <conditionalFormatting sqref="D15:E15">
    <cfRule type="expression" dxfId="447" priority="537" stopIfTrue="1">
      <formula>$A15="Meta"</formula>
    </cfRule>
    <cfRule type="expression" dxfId="446" priority="538" stopIfTrue="1">
      <formula>$A15&lt;&gt;"Serviço"</formula>
    </cfRule>
  </conditionalFormatting>
  <conditionalFormatting sqref="C15">
    <cfRule type="expression" dxfId="445" priority="539" stopIfTrue="1">
      <formula>$A15="Meta"</formula>
    </cfRule>
    <cfRule type="expression" dxfId="444" priority="540" stopIfTrue="1">
      <formula>$A15&lt;&gt;"Serviço"</formula>
    </cfRule>
  </conditionalFormatting>
  <conditionalFormatting sqref="A15:B15">
    <cfRule type="expression" dxfId="443" priority="541" stopIfTrue="1">
      <formula>$A15="Meta"</formula>
    </cfRule>
    <cfRule type="expression" dxfId="442" priority="542" stopIfTrue="1">
      <formula>LEFT($A15,5)="Nível"</formula>
    </cfRule>
    <cfRule type="expression" dxfId="441" priority="543" stopIfTrue="1">
      <formula>$A15=0</formula>
    </cfRule>
  </conditionalFormatting>
  <conditionalFormatting sqref="D18:E18">
    <cfRule type="expression" dxfId="440" priority="524" stopIfTrue="1">
      <formula>$A18="Meta"</formula>
    </cfRule>
    <cfRule type="expression" dxfId="439" priority="525" stopIfTrue="1">
      <formula>$A18&lt;&gt;"Serviço"</formula>
    </cfRule>
  </conditionalFormatting>
  <conditionalFormatting sqref="C18">
    <cfRule type="expression" dxfId="438" priority="526" stopIfTrue="1">
      <formula>$A18="Meta"</formula>
    </cfRule>
    <cfRule type="expression" dxfId="437" priority="527" stopIfTrue="1">
      <formula>$A18&lt;&gt;"Serviço"</formula>
    </cfRule>
  </conditionalFormatting>
  <conditionalFormatting sqref="A18:B18">
    <cfRule type="expression" dxfId="436" priority="528" stopIfTrue="1">
      <formula>$A18="Meta"</formula>
    </cfRule>
    <cfRule type="expression" dxfId="435" priority="529" stopIfTrue="1">
      <formula>LEFT($A18,5)="Nível"</formula>
    </cfRule>
    <cfRule type="expression" dxfId="434" priority="530" stopIfTrue="1">
      <formula>$A18=0</formula>
    </cfRule>
  </conditionalFormatting>
  <conditionalFormatting sqref="U18">
    <cfRule type="expression" dxfId="433" priority="531" stopIfTrue="1">
      <formula>$A18="Meta"</formula>
    </cfRule>
    <cfRule type="expression" dxfId="432" priority="532" stopIfTrue="1">
      <formula>OR(U$9=0,$A18&lt;&gt;"Serviço")</formula>
    </cfRule>
    <cfRule type="expression" dxfId="431" priority="533" stopIfTrue="1">
      <formula>TipoOrçamento="Licitado"</formula>
    </cfRule>
  </conditionalFormatting>
  <conditionalFormatting sqref="F18:O18">
    <cfRule type="expression" dxfId="430" priority="521" stopIfTrue="1">
      <formula>$A18="Meta"</formula>
    </cfRule>
    <cfRule type="expression" dxfId="429" priority="522" stopIfTrue="1">
      <formula>OR(F$9=0,$A18&lt;&gt;"Serviço")</formula>
    </cfRule>
    <cfRule type="expression" dxfId="428" priority="523" stopIfTrue="1">
      <formula>TipoOrçamento="Licitado"</formula>
    </cfRule>
  </conditionalFormatting>
  <conditionalFormatting sqref="D26:E26">
    <cfRule type="expression" dxfId="427" priority="511" stopIfTrue="1">
      <formula>$A26="Meta"</formula>
    </cfRule>
    <cfRule type="expression" dxfId="426" priority="512" stopIfTrue="1">
      <formula>$A26&lt;&gt;"Serviço"</formula>
    </cfRule>
  </conditionalFormatting>
  <conditionalFormatting sqref="C26">
    <cfRule type="expression" dxfId="425" priority="513" stopIfTrue="1">
      <formula>$A26="Meta"</formula>
    </cfRule>
    <cfRule type="expression" dxfId="424" priority="514" stopIfTrue="1">
      <formula>$A26&lt;&gt;"Serviço"</formula>
    </cfRule>
  </conditionalFormatting>
  <conditionalFormatting sqref="A26:B26">
    <cfRule type="expression" dxfId="423" priority="515" stopIfTrue="1">
      <formula>$A26="Meta"</formula>
    </cfRule>
    <cfRule type="expression" dxfId="422" priority="516" stopIfTrue="1">
      <formula>LEFT($A26,5)="Nível"</formula>
    </cfRule>
    <cfRule type="expression" dxfId="421" priority="517" stopIfTrue="1">
      <formula>$A26=0</formula>
    </cfRule>
  </conditionalFormatting>
  <conditionalFormatting sqref="U26">
    <cfRule type="expression" dxfId="420" priority="518" stopIfTrue="1">
      <formula>$A26="Meta"</formula>
    </cfRule>
    <cfRule type="expression" dxfId="419" priority="519" stopIfTrue="1">
      <formula>OR(U$9=0,$A26&lt;&gt;"Serviço")</formula>
    </cfRule>
    <cfRule type="expression" dxfId="418" priority="520" stopIfTrue="1">
      <formula>TipoOrçamento="Licitado"</formula>
    </cfRule>
  </conditionalFormatting>
  <conditionalFormatting sqref="F26:O26">
    <cfRule type="expression" dxfId="417" priority="508" stopIfTrue="1">
      <formula>$A26="Meta"</formula>
    </cfRule>
    <cfRule type="expression" dxfId="416" priority="509" stopIfTrue="1">
      <formula>OR(F$9=0,$A26&lt;&gt;"Serviço")</formula>
    </cfRule>
    <cfRule type="expression" dxfId="415" priority="510" stopIfTrue="1">
      <formula>TipoOrçamento="Licitado"</formula>
    </cfRule>
  </conditionalFormatting>
  <conditionalFormatting sqref="D29:E29">
    <cfRule type="expression" dxfId="414" priority="498" stopIfTrue="1">
      <formula>$A29="Meta"</formula>
    </cfRule>
    <cfRule type="expression" dxfId="413" priority="499" stopIfTrue="1">
      <formula>$A29&lt;&gt;"Serviço"</formula>
    </cfRule>
  </conditionalFormatting>
  <conditionalFormatting sqref="C29">
    <cfRule type="expression" dxfId="412" priority="500" stopIfTrue="1">
      <formula>$A29="Meta"</formula>
    </cfRule>
    <cfRule type="expression" dxfId="411" priority="501" stopIfTrue="1">
      <formula>$A29&lt;&gt;"Serviço"</formula>
    </cfRule>
  </conditionalFormatting>
  <conditionalFormatting sqref="A29:B29">
    <cfRule type="expression" dxfId="410" priority="502" stopIfTrue="1">
      <formula>$A29="Meta"</formula>
    </cfRule>
    <cfRule type="expression" dxfId="409" priority="503" stopIfTrue="1">
      <formula>LEFT($A29,5)="Nível"</formula>
    </cfRule>
    <cfRule type="expression" dxfId="408" priority="504" stopIfTrue="1">
      <formula>$A29=0</formula>
    </cfRule>
  </conditionalFormatting>
  <conditionalFormatting sqref="D37:E37">
    <cfRule type="expression" dxfId="407" priority="485" stopIfTrue="1">
      <formula>$A37="Meta"</formula>
    </cfRule>
    <cfRule type="expression" dxfId="406" priority="486" stopIfTrue="1">
      <formula>$A37&lt;&gt;"Serviço"</formula>
    </cfRule>
  </conditionalFormatting>
  <conditionalFormatting sqref="C37">
    <cfRule type="expression" dxfId="405" priority="487" stopIfTrue="1">
      <formula>$A37="Meta"</formula>
    </cfRule>
    <cfRule type="expression" dxfId="404" priority="488" stopIfTrue="1">
      <formula>$A37&lt;&gt;"Serviço"</formula>
    </cfRule>
  </conditionalFormatting>
  <conditionalFormatting sqref="A37:B37">
    <cfRule type="expression" dxfId="403" priority="489" stopIfTrue="1">
      <formula>$A37="Meta"</formula>
    </cfRule>
    <cfRule type="expression" dxfId="402" priority="490" stopIfTrue="1">
      <formula>LEFT($A37,5)="Nível"</formula>
    </cfRule>
    <cfRule type="expression" dxfId="401" priority="491" stopIfTrue="1">
      <formula>$A37=0</formula>
    </cfRule>
  </conditionalFormatting>
  <conditionalFormatting sqref="D42:E42">
    <cfRule type="expression" dxfId="400" priority="472" stopIfTrue="1">
      <formula>$A42="Meta"</formula>
    </cfRule>
    <cfRule type="expression" dxfId="399" priority="473" stopIfTrue="1">
      <formula>$A42&lt;&gt;"Serviço"</formula>
    </cfRule>
  </conditionalFormatting>
  <conditionalFormatting sqref="C42">
    <cfRule type="expression" dxfId="398" priority="474" stopIfTrue="1">
      <formula>$A42="Meta"</formula>
    </cfRule>
    <cfRule type="expression" dxfId="397" priority="475" stopIfTrue="1">
      <formula>$A42&lt;&gt;"Serviço"</formula>
    </cfRule>
  </conditionalFormatting>
  <conditionalFormatting sqref="A42:B42">
    <cfRule type="expression" dxfId="396" priority="476" stopIfTrue="1">
      <formula>$A42="Meta"</formula>
    </cfRule>
    <cfRule type="expression" dxfId="395" priority="477" stopIfTrue="1">
      <formula>LEFT($A42,5)="Nível"</formula>
    </cfRule>
    <cfRule type="expression" dxfId="394" priority="478" stopIfTrue="1">
      <formula>$A42=0</formula>
    </cfRule>
  </conditionalFormatting>
  <conditionalFormatting sqref="D49:E49">
    <cfRule type="expression" dxfId="393" priority="459" stopIfTrue="1">
      <formula>$A49="Meta"</formula>
    </cfRule>
    <cfRule type="expression" dxfId="392" priority="460" stopIfTrue="1">
      <formula>$A49&lt;&gt;"Serviço"</formula>
    </cfRule>
  </conditionalFormatting>
  <conditionalFormatting sqref="C49">
    <cfRule type="expression" dxfId="391" priority="461" stopIfTrue="1">
      <formula>$A49="Meta"</formula>
    </cfRule>
    <cfRule type="expression" dxfId="390" priority="462" stopIfTrue="1">
      <formula>$A49&lt;&gt;"Serviço"</formula>
    </cfRule>
  </conditionalFormatting>
  <conditionalFormatting sqref="A49:B49">
    <cfRule type="expression" dxfId="389" priority="463" stopIfTrue="1">
      <formula>$A49="Meta"</formula>
    </cfRule>
    <cfRule type="expression" dxfId="388" priority="464" stopIfTrue="1">
      <formula>LEFT($A49,5)="Nível"</formula>
    </cfRule>
    <cfRule type="expression" dxfId="387" priority="465" stopIfTrue="1">
      <formula>$A49=0</formula>
    </cfRule>
  </conditionalFormatting>
  <conditionalFormatting sqref="D96:E96">
    <cfRule type="expression" dxfId="386" priority="446" stopIfTrue="1">
      <formula>$A96="Meta"</formula>
    </cfRule>
    <cfRule type="expression" dxfId="385" priority="447" stopIfTrue="1">
      <formula>$A96&lt;&gt;"Serviço"</formula>
    </cfRule>
  </conditionalFormatting>
  <conditionalFormatting sqref="C96">
    <cfRule type="expression" dxfId="384" priority="448" stopIfTrue="1">
      <formula>$A96="Meta"</formula>
    </cfRule>
    <cfRule type="expression" dxfId="383" priority="449" stopIfTrue="1">
      <formula>$A96&lt;&gt;"Serviço"</formula>
    </cfRule>
  </conditionalFormatting>
  <conditionalFormatting sqref="A96:B96">
    <cfRule type="expression" dxfId="382" priority="450" stopIfTrue="1">
      <formula>$A96="Meta"</formula>
    </cfRule>
    <cfRule type="expression" dxfId="381" priority="451" stopIfTrue="1">
      <formula>LEFT($A96,5)="Nível"</formula>
    </cfRule>
    <cfRule type="expression" dxfId="380" priority="452" stopIfTrue="1">
      <formula>$A96=0</formula>
    </cfRule>
  </conditionalFormatting>
  <conditionalFormatting sqref="D104:E104">
    <cfRule type="expression" dxfId="379" priority="433" stopIfTrue="1">
      <formula>$A104="Meta"</formula>
    </cfRule>
    <cfRule type="expression" dxfId="378" priority="434" stopIfTrue="1">
      <formula>$A104&lt;&gt;"Serviço"</formula>
    </cfRule>
  </conditionalFormatting>
  <conditionalFormatting sqref="C104">
    <cfRule type="expression" dxfId="377" priority="435" stopIfTrue="1">
      <formula>$A104="Meta"</formula>
    </cfRule>
    <cfRule type="expression" dxfId="376" priority="436" stopIfTrue="1">
      <formula>$A104&lt;&gt;"Serviço"</formula>
    </cfRule>
  </conditionalFormatting>
  <conditionalFormatting sqref="A104:B104">
    <cfRule type="expression" dxfId="375" priority="437" stopIfTrue="1">
      <formula>$A104="Meta"</formula>
    </cfRule>
    <cfRule type="expression" dxfId="374" priority="438" stopIfTrue="1">
      <formula>LEFT($A104,5)="Nível"</formula>
    </cfRule>
    <cfRule type="expression" dxfId="373" priority="439" stopIfTrue="1">
      <formula>$A104=0</formula>
    </cfRule>
  </conditionalFormatting>
  <conditionalFormatting sqref="D105:E105">
    <cfRule type="expression" dxfId="372" priority="420" stopIfTrue="1">
      <formula>$A105="Meta"</formula>
    </cfRule>
    <cfRule type="expression" dxfId="371" priority="421" stopIfTrue="1">
      <formula>$A105&lt;&gt;"Serviço"</formula>
    </cfRule>
  </conditionalFormatting>
  <conditionalFormatting sqref="C105">
    <cfRule type="expression" dxfId="370" priority="422" stopIfTrue="1">
      <formula>$A105="Meta"</formula>
    </cfRule>
    <cfRule type="expression" dxfId="369" priority="423" stopIfTrue="1">
      <formula>$A105&lt;&gt;"Serviço"</formula>
    </cfRule>
  </conditionalFormatting>
  <conditionalFormatting sqref="A105:B105">
    <cfRule type="expression" dxfId="368" priority="424" stopIfTrue="1">
      <formula>$A105="Meta"</formula>
    </cfRule>
    <cfRule type="expression" dxfId="367" priority="425" stopIfTrue="1">
      <formula>LEFT($A105,5)="Nível"</formula>
    </cfRule>
    <cfRule type="expression" dxfId="366" priority="426" stopIfTrue="1">
      <formula>$A105=0</formula>
    </cfRule>
  </conditionalFormatting>
  <conditionalFormatting sqref="D106:E106">
    <cfRule type="expression" dxfId="365" priority="407" stopIfTrue="1">
      <formula>$A106="Meta"</formula>
    </cfRule>
    <cfRule type="expression" dxfId="364" priority="408" stopIfTrue="1">
      <formula>$A106&lt;&gt;"Serviço"</formula>
    </cfRule>
  </conditionalFormatting>
  <conditionalFormatting sqref="C106">
    <cfRule type="expression" dxfId="363" priority="409" stopIfTrue="1">
      <formula>$A106="Meta"</formula>
    </cfRule>
    <cfRule type="expression" dxfId="362" priority="410" stopIfTrue="1">
      <formula>$A106&lt;&gt;"Serviço"</formula>
    </cfRule>
  </conditionalFormatting>
  <conditionalFormatting sqref="A106:B106">
    <cfRule type="expression" dxfId="361" priority="411" stopIfTrue="1">
      <formula>$A106="Meta"</formula>
    </cfRule>
    <cfRule type="expression" dxfId="360" priority="412" stopIfTrue="1">
      <formula>LEFT($A106,5)="Nível"</formula>
    </cfRule>
    <cfRule type="expression" dxfId="359" priority="413" stopIfTrue="1">
      <formula>$A106=0</formula>
    </cfRule>
  </conditionalFormatting>
  <conditionalFormatting sqref="D56:E58">
    <cfRule type="expression" dxfId="358" priority="394" stopIfTrue="1">
      <formula>$A56="Meta"</formula>
    </cfRule>
    <cfRule type="expression" dxfId="357" priority="395" stopIfTrue="1">
      <formula>$A56&lt;&gt;"Serviço"</formula>
    </cfRule>
  </conditionalFormatting>
  <conditionalFormatting sqref="C56:C58">
    <cfRule type="expression" dxfId="356" priority="396" stopIfTrue="1">
      <formula>$A56="Meta"</formula>
    </cfRule>
    <cfRule type="expression" dxfId="355" priority="397" stopIfTrue="1">
      <formula>$A56&lt;&gt;"Serviço"</formula>
    </cfRule>
  </conditionalFormatting>
  <conditionalFormatting sqref="A56:B58">
    <cfRule type="expression" dxfId="354" priority="398" stopIfTrue="1">
      <formula>$A56="Meta"</formula>
    </cfRule>
    <cfRule type="expression" dxfId="353" priority="399" stopIfTrue="1">
      <formula>LEFT($A56,5)="Nível"</formula>
    </cfRule>
    <cfRule type="expression" dxfId="352" priority="400" stopIfTrue="1">
      <formula>$A56=0</formula>
    </cfRule>
  </conditionalFormatting>
  <conditionalFormatting sqref="D75:E76">
    <cfRule type="expression" dxfId="351" priority="381" stopIfTrue="1">
      <formula>$A75="Meta"</formula>
    </cfRule>
    <cfRule type="expression" dxfId="350" priority="382" stopIfTrue="1">
      <formula>$A75&lt;&gt;"Serviço"</formula>
    </cfRule>
  </conditionalFormatting>
  <conditionalFormatting sqref="C75:C76">
    <cfRule type="expression" dxfId="349" priority="383" stopIfTrue="1">
      <formula>$A75="Meta"</formula>
    </cfRule>
    <cfRule type="expression" dxfId="348" priority="384" stopIfTrue="1">
      <formula>$A75&lt;&gt;"Serviço"</formula>
    </cfRule>
  </conditionalFormatting>
  <conditionalFormatting sqref="A75:B76">
    <cfRule type="expression" dxfId="347" priority="385" stopIfTrue="1">
      <formula>$A75="Meta"</formula>
    </cfRule>
    <cfRule type="expression" dxfId="346" priority="386" stopIfTrue="1">
      <formula>LEFT($A75,5)="Nível"</formula>
    </cfRule>
    <cfRule type="expression" dxfId="345" priority="387" stopIfTrue="1">
      <formula>$A75=0</formula>
    </cfRule>
  </conditionalFormatting>
  <conditionalFormatting sqref="D65:E65">
    <cfRule type="expression" dxfId="344" priority="368" stopIfTrue="1">
      <formula>$A65="Meta"</formula>
    </cfRule>
    <cfRule type="expression" dxfId="343" priority="369" stopIfTrue="1">
      <formula>$A65&lt;&gt;"Serviço"</formula>
    </cfRule>
  </conditionalFormatting>
  <conditionalFormatting sqref="C65">
    <cfRule type="expression" dxfId="342" priority="370" stopIfTrue="1">
      <formula>$A65="Meta"</formula>
    </cfRule>
    <cfRule type="expression" dxfId="341" priority="371" stopIfTrue="1">
      <formula>$A65&lt;&gt;"Serviço"</formula>
    </cfRule>
  </conditionalFormatting>
  <conditionalFormatting sqref="A65:B65">
    <cfRule type="expression" dxfId="340" priority="372" stopIfTrue="1">
      <formula>$A65="Meta"</formula>
    </cfRule>
    <cfRule type="expression" dxfId="339" priority="373" stopIfTrue="1">
      <formula>LEFT($A65,5)="Nível"</formula>
    </cfRule>
    <cfRule type="expression" dxfId="338" priority="374" stopIfTrue="1">
      <formula>$A65=0</formula>
    </cfRule>
  </conditionalFormatting>
  <conditionalFormatting sqref="D67:E67">
    <cfRule type="expression" dxfId="337" priority="355" stopIfTrue="1">
      <formula>$A67="Meta"</formula>
    </cfRule>
    <cfRule type="expression" dxfId="336" priority="356" stopIfTrue="1">
      <formula>$A67&lt;&gt;"Serviço"</formula>
    </cfRule>
  </conditionalFormatting>
  <conditionalFormatting sqref="C67">
    <cfRule type="expression" dxfId="335" priority="357" stopIfTrue="1">
      <formula>$A67="Meta"</formula>
    </cfRule>
    <cfRule type="expression" dxfId="334" priority="358" stopIfTrue="1">
      <formula>$A67&lt;&gt;"Serviço"</formula>
    </cfRule>
  </conditionalFormatting>
  <conditionalFormatting sqref="A67:B67">
    <cfRule type="expression" dxfId="333" priority="359" stopIfTrue="1">
      <formula>$A67="Meta"</formula>
    </cfRule>
    <cfRule type="expression" dxfId="332" priority="360" stopIfTrue="1">
      <formula>LEFT($A67,5)="Nível"</formula>
    </cfRule>
    <cfRule type="expression" dxfId="331" priority="361" stopIfTrue="1">
      <formula>$A67=0</formula>
    </cfRule>
  </conditionalFormatting>
  <conditionalFormatting sqref="D68:E68">
    <cfRule type="expression" dxfId="330" priority="342" stopIfTrue="1">
      <formula>$A68="Meta"</formula>
    </cfRule>
    <cfRule type="expression" dxfId="329" priority="343" stopIfTrue="1">
      <formula>$A68&lt;&gt;"Serviço"</formula>
    </cfRule>
  </conditionalFormatting>
  <conditionalFormatting sqref="C68">
    <cfRule type="expression" dxfId="328" priority="344" stopIfTrue="1">
      <formula>$A68="Meta"</formula>
    </cfRule>
    <cfRule type="expression" dxfId="327" priority="345" stopIfTrue="1">
      <formula>$A68&lt;&gt;"Serviço"</formula>
    </cfRule>
  </conditionalFormatting>
  <conditionalFormatting sqref="A68:B68">
    <cfRule type="expression" dxfId="326" priority="346" stopIfTrue="1">
      <formula>$A68="Meta"</formula>
    </cfRule>
    <cfRule type="expression" dxfId="325" priority="347" stopIfTrue="1">
      <formula>LEFT($A68,5)="Nível"</formula>
    </cfRule>
    <cfRule type="expression" dxfId="324" priority="348" stopIfTrue="1">
      <formula>$A68=0</formula>
    </cfRule>
  </conditionalFormatting>
  <conditionalFormatting sqref="D69:E69">
    <cfRule type="expression" dxfId="323" priority="329" stopIfTrue="1">
      <formula>$A69="Meta"</formula>
    </cfRule>
    <cfRule type="expression" dxfId="322" priority="330" stopIfTrue="1">
      <formula>$A69&lt;&gt;"Serviço"</formula>
    </cfRule>
  </conditionalFormatting>
  <conditionalFormatting sqref="C69">
    <cfRule type="expression" dxfId="321" priority="331" stopIfTrue="1">
      <formula>$A69="Meta"</formula>
    </cfRule>
    <cfRule type="expression" dxfId="320" priority="332" stopIfTrue="1">
      <formula>$A69&lt;&gt;"Serviço"</formula>
    </cfRule>
  </conditionalFormatting>
  <conditionalFormatting sqref="A69:B69">
    <cfRule type="expression" dxfId="319" priority="333" stopIfTrue="1">
      <formula>$A69="Meta"</formula>
    </cfRule>
    <cfRule type="expression" dxfId="318" priority="334" stopIfTrue="1">
      <formula>LEFT($A69,5)="Nível"</formula>
    </cfRule>
    <cfRule type="expression" dxfId="317" priority="335" stopIfTrue="1">
      <formula>$A69=0</formula>
    </cfRule>
  </conditionalFormatting>
  <conditionalFormatting sqref="D72:E72">
    <cfRule type="expression" dxfId="316" priority="316" stopIfTrue="1">
      <formula>$A72="Meta"</formula>
    </cfRule>
    <cfRule type="expression" dxfId="315" priority="317" stopIfTrue="1">
      <formula>$A72&lt;&gt;"Serviço"</formula>
    </cfRule>
  </conditionalFormatting>
  <conditionalFormatting sqref="C72">
    <cfRule type="expression" dxfId="314" priority="318" stopIfTrue="1">
      <formula>$A72="Meta"</formula>
    </cfRule>
    <cfRule type="expression" dxfId="313" priority="319" stopIfTrue="1">
      <formula>$A72&lt;&gt;"Serviço"</formula>
    </cfRule>
  </conditionalFormatting>
  <conditionalFormatting sqref="A72:B72">
    <cfRule type="expression" dxfId="312" priority="320" stopIfTrue="1">
      <formula>$A72="Meta"</formula>
    </cfRule>
    <cfRule type="expression" dxfId="311" priority="321" stopIfTrue="1">
      <formula>LEFT($A72,5)="Nível"</formula>
    </cfRule>
    <cfRule type="expression" dxfId="310" priority="322" stopIfTrue="1">
      <formula>$A72=0</formula>
    </cfRule>
  </conditionalFormatting>
  <conditionalFormatting sqref="D73:E73">
    <cfRule type="expression" dxfId="309" priority="303" stopIfTrue="1">
      <formula>$A73="Meta"</formula>
    </cfRule>
    <cfRule type="expression" dxfId="308" priority="304" stopIfTrue="1">
      <formula>$A73&lt;&gt;"Serviço"</formula>
    </cfRule>
  </conditionalFormatting>
  <conditionalFormatting sqref="C73">
    <cfRule type="expression" dxfId="307" priority="305" stopIfTrue="1">
      <formula>$A73="Meta"</formula>
    </cfRule>
    <cfRule type="expression" dxfId="306" priority="306" stopIfTrue="1">
      <formula>$A73&lt;&gt;"Serviço"</formula>
    </cfRule>
  </conditionalFormatting>
  <conditionalFormatting sqref="A73:B73">
    <cfRule type="expression" dxfId="305" priority="307" stopIfTrue="1">
      <formula>$A73="Meta"</formula>
    </cfRule>
    <cfRule type="expression" dxfId="304" priority="308" stopIfTrue="1">
      <formula>LEFT($A73,5)="Nível"</formula>
    </cfRule>
    <cfRule type="expression" dxfId="303" priority="309" stopIfTrue="1">
      <formula>$A73=0</formula>
    </cfRule>
  </conditionalFormatting>
  <conditionalFormatting sqref="D116:E117">
    <cfRule type="expression" dxfId="302" priority="290" stopIfTrue="1">
      <formula>$A116="Meta"</formula>
    </cfRule>
    <cfRule type="expression" dxfId="301" priority="291" stopIfTrue="1">
      <formula>$A116&lt;&gt;"Serviço"</formula>
    </cfRule>
  </conditionalFormatting>
  <conditionalFormatting sqref="C116:C117">
    <cfRule type="expression" dxfId="300" priority="292" stopIfTrue="1">
      <formula>$A116="Meta"</formula>
    </cfRule>
    <cfRule type="expression" dxfId="299" priority="293" stopIfTrue="1">
      <formula>$A116&lt;&gt;"Serviço"</formula>
    </cfRule>
  </conditionalFormatting>
  <conditionalFormatting sqref="A116:B117">
    <cfRule type="expression" dxfId="298" priority="294" stopIfTrue="1">
      <formula>$A116="Meta"</formula>
    </cfRule>
    <cfRule type="expression" dxfId="297" priority="295" stopIfTrue="1">
      <formula>LEFT($A116,5)="Nível"</formula>
    </cfRule>
    <cfRule type="expression" dxfId="296" priority="296" stopIfTrue="1">
      <formula>$A116=0</formula>
    </cfRule>
  </conditionalFormatting>
  <conditionalFormatting sqref="D111:E113">
    <cfRule type="expression" dxfId="295" priority="277" stopIfTrue="1">
      <formula>$A111="Meta"</formula>
    </cfRule>
    <cfRule type="expression" dxfId="294" priority="278" stopIfTrue="1">
      <formula>$A111&lt;&gt;"Serviço"</formula>
    </cfRule>
  </conditionalFormatting>
  <conditionalFormatting sqref="C111:C113">
    <cfRule type="expression" dxfId="293" priority="279" stopIfTrue="1">
      <formula>$A111="Meta"</formula>
    </cfRule>
    <cfRule type="expression" dxfId="292" priority="280" stopIfTrue="1">
      <formula>$A111&lt;&gt;"Serviço"</formula>
    </cfRule>
  </conditionalFormatting>
  <conditionalFormatting sqref="A111:B113">
    <cfRule type="expression" dxfId="291" priority="281" stopIfTrue="1">
      <formula>$A111="Meta"</formula>
    </cfRule>
    <cfRule type="expression" dxfId="290" priority="282" stopIfTrue="1">
      <formula>LEFT($A111,5)="Nível"</formula>
    </cfRule>
    <cfRule type="expression" dxfId="289" priority="283" stopIfTrue="1">
      <formula>$A111=0</formula>
    </cfRule>
  </conditionalFormatting>
  <conditionalFormatting sqref="D74:E74">
    <cfRule type="expression" dxfId="288" priority="264" stopIfTrue="1">
      <formula>$A74="Meta"</formula>
    </cfRule>
    <cfRule type="expression" dxfId="287" priority="265" stopIfTrue="1">
      <formula>$A74&lt;&gt;"Serviço"</formula>
    </cfRule>
  </conditionalFormatting>
  <conditionalFormatting sqref="C74">
    <cfRule type="expression" dxfId="286" priority="266" stopIfTrue="1">
      <formula>$A74="Meta"</formula>
    </cfRule>
    <cfRule type="expression" dxfId="285" priority="267" stopIfTrue="1">
      <formula>$A74&lt;&gt;"Serviço"</formula>
    </cfRule>
  </conditionalFormatting>
  <conditionalFormatting sqref="A74:B74">
    <cfRule type="expression" dxfId="284" priority="268" stopIfTrue="1">
      <formula>$A74="Meta"</formula>
    </cfRule>
    <cfRule type="expression" dxfId="283" priority="269" stopIfTrue="1">
      <formula>LEFT($A74,5)="Nível"</formula>
    </cfRule>
    <cfRule type="expression" dxfId="282" priority="270" stopIfTrue="1">
      <formula>$A74=0</formula>
    </cfRule>
  </conditionalFormatting>
  <conditionalFormatting sqref="D39:E39">
    <cfRule type="expression" dxfId="281" priority="251" stopIfTrue="1">
      <formula>$A39="Meta"</formula>
    </cfRule>
    <cfRule type="expression" dxfId="280" priority="252" stopIfTrue="1">
      <formula>$A39&lt;&gt;"Serviço"</formula>
    </cfRule>
  </conditionalFormatting>
  <conditionalFormatting sqref="C39">
    <cfRule type="expression" dxfId="279" priority="253" stopIfTrue="1">
      <formula>$A39="Meta"</formula>
    </cfRule>
    <cfRule type="expression" dxfId="278" priority="254" stopIfTrue="1">
      <formula>$A39&lt;&gt;"Serviço"</formula>
    </cfRule>
  </conditionalFormatting>
  <conditionalFormatting sqref="A39:B39">
    <cfRule type="expression" dxfId="277" priority="255" stopIfTrue="1">
      <formula>$A39="Meta"</formula>
    </cfRule>
    <cfRule type="expression" dxfId="276" priority="256" stopIfTrue="1">
      <formula>LEFT($A39,5)="Nível"</formula>
    </cfRule>
    <cfRule type="expression" dxfId="275" priority="257" stopIfTrue="1">
      <formula>$A39=0</formula>
    </cfRule>
  </conditionalFormatting>
  <conditionalFormatting sqref="D86:E86">
    <cfRule type="expression" dxfId="274" priority="238" stopIfTrue="1">
      <formula>$A86="Meta"</formula>
    </cfRule>
    <cfRule type="expression" dxfId="273" priority="239" stopIfTrue="1">
      <formula>$A86&lt;&gt;"Serviço"</formula>
    </cfRule>
  </conditionalFormatting>
  <conditionalFormatting sqref="C86">
    <cfRule type="expression" dxfId="272" priority="240" stopIfTrue="1">
      <formula>$A86="Meta"</formula>
    </cfRule>
    <cfRule type="expression" dxfId="271" priority="241" stopIfTrue="1">
      <formula>$A86&lt;&gt;"Serviço"</formula>
    </cfRule>
  </conditionalFormatting>
  <conditionalFormatting sqref="A86:B86">
    <cfRule type="expression" dxfId="270" priority="242" stopIfTrue="1">
      <formula>$A86="Meta"</formula>
    </cfRule>
    <cfRule type="expression" dxfId="269" priority="243" stopIfTrue="1">
      <formula>LEFT($A86,5)="Nível"</formula>
    </cfRule>
    <cfRule type="expression" dxfId="268" priority="244" stopIfTrue="1">
      <formula>$A86=0</formula>
    </cfRule>
  </conditionalFormatting>
  <conditionalFormatting sqref="D89:E89">
    <cfRule type="expression" dxfId="267" priority="225" stopIfTrue="1">
      <formula>$A89="Meta"</formula>
    </cfRule>
    <cfRule type="expression" dxfId="266" priority="226" stopIfTrue="1">
      <formula>$A89&lt;&gt;"Serviço"</formula>
    </cfRule>
  </conditionalFormatting>
  <conditionalFormatting sqref="C89">
    <cfRule type="expression" dxfId="265" priority="227" stopIfTrue="1">
      <formula>$A89="Meta"</formula>
    </cfRule>
    <cfRule type="expression" dxfId="264" priority="228" stopIfTrue="1">
      <formula>$A89&lt;&gt;"Serviço"</formula>
    </cfRule>
  </conditionalFormatting>
  <conditionalFormatting sqref="A89:B89">
    <cfRule type="expression" dxfId="263" priority="229" stopIfTrue="1">
      <formula>$A89="Meta"</formula>
    </cfRule>
    <cfRule type="expression" dxfId="262" priority="230" stopIfTrue="1">
      <formula>LEFT($A89,5)="Nível"</formula>
    </cfRule>
    <cfRule type="expression" dxfId="261" priority="231" stopIfTrue="1">
      <formula>$A89=0</formula>
    </cfRule>
  </conditionalFormatting>
  <conditionalFormatting sqref="D66:E66">
    <cfRule type="expression" dxfId="260" priority="212" stopIfTrue="1">
      <formula>$A66="Meta"</formula>
    </cfRule>
    <cfRule type="expression" dxfId="259" priority="213" stopIfTrue="1">
      <formula>$A66&lt;&gt;"Serviço"</formula>
    </cfRule>
  </conditionalFormatting>
  <conditionalFormatting sqref="C66">
    <cfRule type="expression" dxfId="258" priority="214" stopIfTrue="1">
      <formula>$A66="Meta"</formula>
    </cfRule>
    <cfRule type="expression" dxfId="257" priority="215" stopIfTrue="1">
      <formula>$A66&lt;&gt;"Serviço"</formula>
    </cfRule>
  </conditionalFormatting>
  <conditionalFormatting sqref="A66:B66">
    <cfRule type="expression" dxfId="256" priority="216" stopIfTrue="1">
      <formula>$A66="Meta"</formula>
    </cfRule>
    <cfRule type="expression" dxfId="255" priority="217" stopIfTrue="1">
      <formula>LEFT($A66,5)="Nível"</formula>
    </cfRule>
    <cfRule type="expression" dxfId="254" priority="218" stopIfTrue="1">
      <formula>$A66=0</formula>
    </cfRule>
  </conditionalFormatting>
  <conditionalFormatting sqref="D23:E24">
    <cfRule type="expression" dxfId="253" priority="199" stopIfTrue="1">
      <formula>$A23="Meta"</formula>
    </cfRule>
    <cfRule type="expression" dxfId="252" priority="200" stopIfTrue="1">
      <formula>$A23&lt;&gt;"Serviço"</formula>
    </cfRule>
  </conditionalFormatting>
  <conditionalFormatting sqref="C23:C24">
    <cfRule type="expression" dxfId="251" priority="201" stopIfTrue="1">
      <formula>$A23="Meta"</formula>
    </cfRule>
    <cfRule type="expression" dxfId="250" priority="202" stopIfTrue="1">
      <formula>$A23&lt;&gt;"Serviço"</formula>
    </cfRule>
  </conditionalFormatting>
  <conditionalFormatting sqref="A23:B24">
    <cfRule type="expression" dxfId="249" priority="203" stopIfTrue="1">
      <formula>$A23="Meta"</formula>
    </cfRule>
    <cfRule type="expression" dxfId="248" priority="204" stopIfTrue="1">
      <formula>LEFT($A23,5)="Nível"</formula>
    </cfRule>
    <cfRule type="expression" dxfId="247" priority="205" stopIfTrue="1">
      <formula>$A23=0</formula>
    </cfRule>
  </conditionalFormatting>
  <conditionalFormatting sqref="U23:U24">
    <cfRule type="expression" dxfId="246" priority="206" stopIfTrue="1">
      <formula>$A23="Meta"</formula>
    </cfRule>
    <cfRule type="expression" dxfId="245" priority="207" stopIfTrue="1">
      <formula>OR(U$9=0,$A23&lt;&gt;"Serviço")</formula>
    </cfRule>
    <cfRule type="expression" dxfId="244" priority="208" stopIfTrue="1">
      <formula>TipoOrçamento="Licitado"</formula>
    </cfRule>
  </conditionalFormatting>
  <conditionalFormatting sqref="F23:O24">
    <cfRule type="expression" dxfId="243" priority="196" stopIfTrue="1">
      <formula>$A23="Meta"</formula>
    </cfRule>
    <cfRule type="expression" dxfId="242" priority="197" stopIfTrue="1">
      <formula>OR(F$9=0,$A23&lt;&gt;"Serviço")</formula>
    </cfRule>
    <cfRule type="expression" dxfId="241" priority="198" stopIfTrue="1">
      <formula>TipoOrçamento="Licitado"</formula>
    </cfRule>
  </conditionalFormatting>
  <conditionalFormatting sqref="D59:E59">
    <cfRule type="expression" dxfId="240" priority="186" stopIfTrue="1">
      <formula>$A59="Meta"</formula>
    </cfRule>
    <cfRule type="expression" dxfId="239" priority="187" stopIfTrue="1">
      <formula>$A59&lt;&gt;"Serviço"</formula>
    </cfRule>
  </conditionalFormatting>
  <conditionalFormatting sqref="C59">
    <cfRule type="expression" dxfId="238" priority="188" stopIfTrue="1">
      <formula>$A59="Meta"</formula>
    </cfRule>
    <cfRule type="expression" dxfId="237" priority="189" stopIfTrue="1">
      <formula>$A59&lt;&gt;"Serviço"</formula>
    </cfRule>
  </conditionalFormatting>
  <conditionalFormatting sqref="A59:B59">
    <cfRule type="expression" dxfId="236" priority="190" stopIfTrue="1">
      <formula>$A59="Meta"</formula>
    </cfRule>
    <cfRule type="expression" dxfId="235" priority="191" stopIfTrue="1">
      <formula>LEFT($A59,5)="Nível"</formula>
    </cfRule>
    <cfRule type="expression" dxfId="234" priority="192" stopIfTrue="1">
      <formula>$A59=0</formula>
    </cfRule>
  </conditionalFormatting>
  <conditionalFormatting sqref="D107:E107">
    <cfRule type="expression" dxfId="233" priority="173" stopIfTrue="1">
      <formula>$A107="Meta"</formula>
    </cfRule>
    <cfRule type="expression" dxfId="232" priority="174" stopIfTrue="1">
      <formula>$A107&lt;&gt;"Serviço"</formula>
    </cfRule>
  </conditionalFormatting>
  <conditionalFormatting sqref="C107">
    <cfRule type="expression" dxfId="231" priority="175" stopIfTrue="1">
      <formula>$A107="Meta"</formula>
    </cfRule>
    <cfRule type="expression" dxfId="230" priority="176" stopIfTrue="1">
      <formula>$A107&lt;&gt;"Serviço"</formula>
    </cfRule>
  </conditionalFormatting>
  <conditionalFormatting sqref="A107:B107">
    <cfRule type="expression" dxfId="229" priority="177" stopIfTrue="1">
      <formula>$A107="Meta"</formula>
    </cfRule>
    <cfRule type="expression" dxfId="228" priority="178" stopIfTrue="1">
      <formula>LEFT($A107,5)="Nível"</formula>
    </cfRule>
    <cfRule type="expression" dxfId="227" priority="179" stopIfTrue="1">
      <formula>$A107=0</formula>
    </cfRule>
  </conditionalFormatting>
  <conditionalFormatting sqref="D77:E77">
    <cfRule type="expression" dxfId="226" priority="160" stopIfTrue="1">
      <formula>$A77="Meta"</formula>
    </cfRule>
    <cfRule type="expression" dxfId="225" priority="161" stopIfTrue="1">
      <formula>$A77&lt;&gt;"Serviço"</formula>
    </cfRule>
  </conditionalFormatting>
  <conditionalFormatting sqref="C77">
    <cfRule type="expression" dxfId="224" priority="162" stopIfTrue="1">
      <formula>$A77="Meta"</formula>
    </cfRule>
    <cfRule type="expression" dxfId="223" priority="163" stopIfTrue="1">
      <formula>$A77&lt;&gt;"Serviço"</formula>
    </cfRule>
  </conditionalFormatting>
  <conditionalFormatting sqref="A77:B77">
    <cfRule type="expression" dxfId="222" priority="164" stopIfTrue="1">
      <formula>$A77="Meta"</formula>
    </cfRule>
    <cfRule type="expression" dxfId="221" priority="165" stopIfTrue="1">
      <formula>LEFT($A77,5)="Nível"</formula>
    </cfRule>
    <cfRule type="expression" dxfId="220" priority="166" stopIfTrue="1">
      <formula>$A77=0</formula>
    </cfRule>
  </conditionalFormatting>
  <conditionalFormatting sqref="D78:E78">
    <cfRule type="expression" dxfId="219" priority="147" stopIfTrue="1">
      <formula>$A78="Meta"</formula>
    </cfRule>
    <cfRule type="expression" dxfId="218" priority="148" stopIfTrue="1">
      <formula>$A78&lt;&gt;"Serviço"</formula>
    </cfRule>
  </conditionalFormatting>
  <conditionalFormatting sqref="C78">
    <cfRule type="expression" dxfId="217" priority="149" stopIfTrue="1">
      <formula>$A78="Meta"</formula>
    </cfRule>
    <cfRule type="expression" dxfId="216" priority="150" stopIfTrue="1">
      <formula>$A78&lt;&gt;"Serviço"</formula>
    </cfRule>
  </conditionalFormatting>
  <conditionalFormatting sqref="A78:B78">
    <cfRule type="expression" dxfId="215" priority="151" stopIfTrue="1">
      <formula>$A78="Meta"</formula>
    </cfRule>
    <cfRule type="expression" dxfId="214" priority="152" stopIfTrue="1">
      <formula>LEFT($A78,5)="Nível"</formula>
    </cfRule>
    <cfRule type="expression" dxfId="213" priority="153" stopIfTrue="1">
      <formula>$A78=0</formula>
    </cfRule>
  </conditionalFormatting>
  <conditionalFormatting sqref="D79:E79">
    <cfRule type="expression" dxfId="212" priority="134" stopIfTrue="1">
      <formula>$A79="Meta"</formula>
    </cfRule>
    <cfRule type="expression" dxfId="211" priority="135" stopIfTrue="1">
      <formula>$A79&lt;&gt;"Serviço"</formula>
    </cfRule>
  </conditionalFormatting>
  <conditionalFormatting sqref="C79">
    <cfRule type="expression" dxfId="210" priority="136" stopIfTrue="1">
      <formula>$A79="Meta"</formula>
    </cfRule>
    <cfRule type="expression" dxfId="209" priority="137" stopIfTrue="1">
      <formula>$A79&lt;&gt;"Serviço"</formula>
    </cfRule>
  </conditionalFormatting>
  <conditionalFormatting sqref="A79:B79">
    <cfRule type="expression" dxfId="208" priority="138" stopIfTrue="1">
      <formula>$A79="Meta"</formula>
    </cfRule>
    <cfRule type="expression" dxfId="207" priority="139" stopIfTrue="1">
      <formula>LEFT($A79,5)="Nível"</formula>
    </cfRule>
    <cfRule type="expression" dxfId="206" priority="140" stopIfTrue="1">
      <formula>$A79=0</formula>
    </cfRule>
  </conditionalFormatting>
  <conditionalFormatting sqref="D47:E47">
    <cfRule type="expression" dxfId="205" priority="121" stopIfTrue="1">
      <formula>$A47="Meta"</formula>
    </cfRule>
    <cfRule type="expression" dxfId="204" priority="122" stopIfTrue="1">
      <formula>$A47&lt;&gt;"Serviço"</formula>
    </cfRule>
  </conditionalFormatting>
  <conditionalFormatting sqref="C47">
    <cfRule type="expression" dxfId="203" priority="123" stopIfTrue="1">
      <formula>$A47="Meta"</formula>
    </cfRule>
    <cfRule type="expression" dxfId="202" priority="124" stopIfTrue="1">
      <formula>$A47&lt;&gt;"Serviço"</formula>
    </cfRule>
  </conditionalFormatting>
  <conditionalFormatting sqref="A47:B47">
    <cfRule type="expression" dxfId="201" priority="125" stopIfTrue="1">
      <formula>$A47="Meta"</formula>
    </cfRule>
    <cfRule type="expression" dxfId="200" priority="126" stopIfTrue="1">
      <formula>LEFT($A47,5)="Nível"</formula>
    </cfRule>
    <cfRule type="expression" dxfId="199" priority="127" stopIfTrue="1">
      <formula>$A47=0</formula>
    </cfRule>
  </conditionalFormatting>
  <conditionalFormatting sqref="D94:E94">
    <cfRule type="expression" dxfId="198" priority="108" stopIfTrue="1">
      <formula>$A94="Meta"</formula>
    </cfRule>
    <cfRule type="expression" dxfId="197" priority="109" stopIfTrue="1">
      <formula>$A94&lt;&gt;"Serviço"</formula>
    </cfRule>
  </conditionalFormatting>
  <conditionalFormatting sqref="C94">
    <cfRule type="expression" dxfId="196" priority="110" stopIfTrue="1">
      <formula>$A94="Meta"</formula>
    </cfRule>
    <cfRule type="expression" dxfId="195" priority="111" stopIfTrue="1">
      <formula>$A94&lt;&gt;"Serviço"</formula>
    </cfRule>
  </conditionalFormatting>
  <conditionalFormatting sqref="A94:B94">
    <cfRule type="expression" dxfId="194" priority="112" stopIfTrue="1">
      <formula>$A94="Meta"</formula>
    </cfRule>
    <cfRule type="expression" dxfId="193" priority="113" stopIfTrue="1">
      <formula>LEFT($A94,5)="Nível"</formula>
    </cfRule>
    <cfRule type="expression" dxfId="192" priority="114" stopIfTrue="1">
      <formula>$A94=0</formula>
    </cfRule>
  </conditionalFormatting>
  <conditionalFormatting sqref="D97:E97">
    <cfRule type="expression" dxfId="191" priority="95" stopIfTrue="1">
      <formula>$A97="Meta"</formula>
    </cfRule>
    <cfRule type="expression" dxfId="190" priority="96" stopIfTrue="1">
      <formula>$A97&lt;&gt;"Serviço"</formula>
    </cfRule>
  </conditionalFormatting>
  <conditionalFormatting sqref="C97">
    <cfRule type="expression" dxfId="189" priority="97" stopIfTrue="1">
      <formula>$A97="Meta"</formula>
    </cfRule>
    <cfRule type="expression" dxfId="188" priority="98" stopIfTrue="1">
      <formula>$A97&lt;&gt;"Serviço"</formula>
    </cfRule>
  </conditionalFormatting>
  <conditionalFormatting sqref="A97:B97">
    <cfRule type="expression" dxfId="187" priority="99" stopIfTrue="1">
      <formula>$A97="Meta"</formula>
    </cfRule>
    <cfRule type="expression" dxfId="186" priority="100" stopIfTrue="1">
      <formula>LEFT($A97,5)="Nível"</formula>
    </cfRule>
    <cfRule type="expression" dxfId="185" priority="101" stopIfTrue="1">
      <formula>$A97=0</formula>
    </cfRule>
  </conditionalFormatting>
  <conditionalFormatting sqref="U97">
    <cfRule type="expression" dxfId="184" priority="102" stopIfTrue="1">
      <formula>$A97="Meta"</formula>
    </cfRule>
    <cfRule type="expression" dxfId="183" priority="103" stopIfTrue="1">
      <formula>OR(U$9=0,$A97&lt;&gt;"Serviço")</formula>
    </cfRule>
    <cfRule type="expression" dxfId="182" priority="104" stopIfTrue="1">
      <formula>TipoOrçamento="Licitado"</formula>
    </cfRule>
  </conditionalFormatting>
  <conditionalFormatting sqref="F97:O97">
    <cfRule type="expression" dxfId="181" priority="92" stopIfTrue="1">
      <formula>$A97="Meta"</formula>
    </cfRule>
    <cfRule type="expression" dxfId="180" priority="93" stopIfTrue="1">
      <formula>OR(F$9=0,$A97&lt;&gt;"Serviço")</formula>
    </cfRule>
    <cfRule type="expression" dxfId="179" priority="94" stopIfTrue="1">
      <formula>TipoOrçamento="Licitado"</formula>
    </cfRule>
  </conditionalFormatting>
  <conditionalFormatting sqref="D108:E108">
    <cfRule type="expression" dxfId="178" priority="82" stopIfTrue="1">
      <formula>$A108="Meta"</formula>
    </cfRule>
    <cfRule type="expression" dxfId="177" priority="83" stopIfTrue="1">
      <formula>$A108&lt;&gt;"Serviço"</formula>
    </cfRule>
  </conditionalFormatting>
  <conditionalFormatting sqref="C108">
    <cfRule type="expression" dxfId="176" priority="84" stopIfTrue="1">
      <formula>$A108="Meta"</formula>
    </cfRule>
    <cfRule type="expression" dxfId="175" priority="85" stopIfTrue="1">
      <formula>$A108&lt;&gt;"Serviço"</formula>
    </cfRule>
  </conditionalFormatting>
  <conditionalFormatting sqref="A108:B108">
    <cfRule type="expression" dxfId="174" priority="86" stopIfTrue="1">
      <formula>$A108="Meta"</formula>
    </cfRule>
    <cfRule type="expression" dxfId="173" priority="87" stopIfTrue="1">
      <formula>LEFT($A108,5)="Nível"</formula>
    </cfRule>
    <cfRule type="expression" dxfId="172" priority="88" stopIfTrue="1">
      <formula>$A108=0</formula>
    </cfRule>
  </conditionalFormatting>
  <conditionalFormatting sqref="U108">
    <cfRule type="expression" dxfId="171" priority="89" stopIfTrue="1">
      <formula>$A108="Meta"</formula>
    </cfRule>
    <cfRule type="expression" dxfId="170" priority="90" stopIfTrue="1">
      <formula>OR(U$9=0,$A108&lt;&gt;"Serviço")</formula>
    </cfRule>
    <cfRule type="expression" dxfId="169" priority="91" stopIfTrue="1">
      <formula>TipoOrçamento="Licitado"</formula>
    </cfRule>
  </conditionalFormatting>
  <conditionalFormatting sqref="F108:O108">
    <cfRule type="expression" dxfId="168" priority="79" stopIfTrue="1">
      <formula>$A108="Meta"</formula>
    </cfRule>
    <cfRule type="expression" dxfId="167" priority="80" stopIfTrue="1">
      <formula>OR(F$9=0,$A108&lt;&gt;"Serviço")</formula>
    </cfRule>
    <cfRule type="expression" dxfId="166" priority="81" stopIfTrue="1">
      <formula>TipoOrçamento="Licitado"</formula>
    </cfRule>
  </conditionalFormatting>
  <conditionalFormatting sqref="D60:E60">
    <cfRule type="expression" dxfId="165" priority="69" stopIfTrue="1">
      <formula>$A60="Meta"</formula>
    </cfRule>
    <cfRule type="expression" dxfId="164" priority="70" stopIfTrue="1">
      <formula>$A60&lt;&gt;"Serviço"</formula>
    </cfRule>
  </conditionalFormatting>
  <conditionalFormatting sqref="C60">
    <cfRule type="expression" dxfId="163" priority="71" stopIfTrue="1">
      <formula>$A60="Meta"</formula>
    </cfRule>
    <cfRule type="expression" dxfId="162" priority="72" stopIfTrue="1">
      <formula>$A60&lt;&gt;"Serviço"</formula>
    </cfRule>
  </conditionalFormatting>
  <conditionalFormatting sqref="A60:B60">
    <cfRule type="expression" dxfId="161" priority="73" stopIfTrue="1">
      <formula>$A60="Meta"</formula>
    </cfRule>
    <cfRule type="expression" dxfId="160" priority="74" stopIfTrue="1">
      <formula>LEFT($A60,5)="Nível"</formula>
    </cfRule>
    <cfRule type="expression" dxfId="159" priority="75" stopIfTrue="1">
      <formula>$A60=0</formula>
    </cfRule>
  </conditionalFormatting>
  <conditionalFormatting sqref="U60">
    <cfRule type="expression" dxfId="158" priority="76" stopIfTrue="1">
      <formula>$A60="Meta"</formula>
    </cfRule>
    <cfRule type="expression" dxfId="157" priority="77" stopIfTrue="1">
      <formula>OR(U$9=0,$A60&lt;&gt;"Serviço")</formula>
    </cfRule>
    <cfRule type="expression" dxfId="156" priority="78" stopIfTrue="1">
      <formula>TipoOrçamento="Licitado"</formula>
    </cfRule>
  </conditionalFormatting>
  <conditionalFormatting sqref="F60:O60">
    <cfRule type="expression" dxfId="155" priority="66" stopIfTrue="1">
      <formula>$A60="Meta"</formula>
    </cfRule>
    <cfRule type="expression" dxfId="154" priority="67" stopIfTrue="1">
      <formula>OR(F$9=0,$A60&lt;&gt;"Serviço")</formula>
    </cfRule>
    <cfRule type="expression" dxfId="153" priority="68" stopIfTrue="1">
      <formula>TipoOrçamento="Licitado"</formula>
    </cfRule>
  </conditionalFormatting>
  <conditionalFormatting sqref="D62:E63">
    <cfRule type="expression" dxfId="152" priority="56" stopIfTrue="1">
      <formula>$A62="Meta"</formula>
    </cfRule>
    <cfRule type="expression" dxfId="151" priority="57" stopIfTrue="1">
      <formula>$A62&lt;&gt;"Serviço"</formula>
    </cfRule>
  </conditionalFormatting>
  <conditionalFormatting sqref="C62:C63">
    <cfRule type="expression" dxfId="150" priority="58" stopIfTrue="1">
      <formula>$A62="Meta"</formula>
    </cfRule>
    <cfRule type="expression" dxfId="149" priority="59" stopIfTrue="1">
      <formula>$A62&lt;&gt;"Serviço"</formula>
    </cfRule>
  </conditionalFormatting>
  <conditionalFormatting sqref="A62:B63">
    <cfRule type="expression" dxfId="148" priority="60" stopIfTrue="1">
      <formula>$A62="Meta"</formula>
    </cfRule>
    <cfRule type="expression" dxfId="147" priority="61" stopIfTrue="1">
      <formula>LEFT($A62,5)="Nível"</formula>
    </cfRule>
    <cfRule type="expression" dxfId="146" priority="62" stopIfTrue="1">
      <formula>$A62=0</formula>
    </cfRule>
  </conditionalFormatting>
  <conditionalFormatting sqref="U62:U63">
    <cfRule type="expression" dxfId="145" priority="63" stopIfTrue="1">
      <formula>$A62="Meta"</formula>
    </cfRule>
    <cfRule type="expression" dxfId="144" priority="64" stopIfTrue="1">
      <formula>OR(U$9=0,$A62&lt;&gt;"Serviço")</formula>
    </cfRule>
    <cfRule type="expression" dxfId="143" priority="65" stopIfTrue="1">
      <formula>TipoOrçamento="Licitado"</formula>
    </cfRule>
  </conditionalFormatting>
  <conditionalFormatting sqref="F62:O63">
    <cfRule type="expression" dxfId="142" priority="53" stopIfTrue="1">
      <formula>$A62="Meta"</formula>
    </cfRule>
    <cfRule type="expression" dxfId="141" priority="54" stopIfTrue="1">
      <formula>OR(F$9=0,$A62&lt;&gt;"Serviço")</formula>
    </cfRule>
    <cfRule type="expression" dxfId="140" priority="55" stopIfTrue="1">
      <formula>TipoOrçamento="Licitado"</formula>
    </cfRule>
  </conditionalFormatting>
  <conditionalFormatting sqref="D61:E61">
    <cfRule type="expression" dxfId="139" priority="43" stopIfTrue="1">
      <formula>$A61="Meta"</formula>
    </cfRule>
    <cfRule type="expression" dxfId="138" priority="44" stopIfTrue="1">
      <formula>$A61&lt;&gt;"Serviço"</formula>
    </cfRule>
  </conditionalFormatting>
  <conditionalFormatting sqref="C61">
    <cfRule type="expression" dxfId="137" priority="45" stopIfTrue="1">
      <formula>$A61="Meta"</formula>
    </cfRule>
    <cfRule type="expression" dxfId="136" priority="46" stopIfTrue="1">
      <formula>$A61&lt;&gt;"Serviço"</formula>
    </cfRule>
  </conditionalFormatting>
  <conditionalFormatting sqref="A61:B61">
    <cfRule type="expression" dxfId="135" priority="47" stopIfTrue="1">
      <formula>$A61="Meta"</formula>
    </cfRule>
    <cfRule type="expression" dxfId="134" priority="48" stopIfTrue="1">
      <formula>LEFT($A61,5)="Nível"</formula>
    </cfRule>
    <cfRule type="expression" dxfId="133" priority="49" stopIfTrue="1">
      <formula>$A61=0</formula>
    </cfRule>
  </conditionalFormatting>
  <conditionalFormatting sqref="U61">
    <cfRule type="expression" dxfId="132" priority="50" stopIfTrue="1">
      <formula>$A61="Meta"</formula>
    </cfRule>
    <cfRule type="expression" dxfId="131" priority="51" stopIfTrue="1">
      <formula>OR(U$9=0,$A61&lt;&gt;"Serviço")</formula>
    </cfRule>
    <cfRule type="expression" dxfId="130" priority="52" stopIfTrue="1">
      <formula>TipoOrçamento="Licitado"</formula>
    </cfRule>
  </conditionalFormatting>
  <conditionalFormatting sqref="F61:O61">
    <cfRule type="expression" dxfId="129" priority="40" stopIfTrue="1">
      <formula>$A61="Meta"</formula>
    </cfRule>
    <cfRule type="expression" dxfId="128" priority="41" stopIfTrue="1">
      <formula>OR(F$9=0,$A61&lt;&gt;"Serviço")</formula>
    </cfRule>
    <cfRule type="expression" dxfId="127" priority="42" stopIfTrue="1">
      <formula>TipoOrçamento="Licitado"</formula>
    </cfRule>
  </conditionalFormatting>
  <conditionalFormatting sqref="D109:E109">
    <cfRule type="expression" dxfId="126" priority="30" stopIfTrue="1">
      <formula>$A109="Meta"</formula>
    </cfRule>
    <cfRule type="expression" dxfId="125" priority="31" stopIfTrue="1">
      <formula>$A109&lt;&gt;"Serviço"</formula>
    </cfRule>
  </conditionalFormatting>
  <conditionalFormatting sqref="C109">
    <cfRule type="expression" dxfId="124" priority="32" stopIfTrue="1">
      <formula>$A109="Meta"</formula>
    </cfRule>
    <cfRule type="expression" dxfId="123" priority="33" stopIfTrue="1">
      <formula>$A109&lt;&gt;"Serviço"</formula>
    </cfRule>
  </conditionalFormatting>
  <conditionalFormatting sqref="A109:B109">
    <cfRule type="expression" dxfId="122" priority="34" stopIfTrue="1">
      <formula>$A109="Meta"</formula>
    </cfRule>
    <cfRule type="expression" dxfId="121" priority="35" stopIfTrue="1">
      <formula>LEFT($A109,5)="Nível"</formula>
    </cfRule>
    <cfRule type="expression" dxfId="120" priority="36" stopIfTrue="1">
      <formula>$A109=0</formula>
    </cfRule>
  </conditionalFormatting>
  <conditionalFormatting sqref="U109">
    <cfRule type="expression" dxfId="119" priority="37" stopIfTrue="1">
      <formula>$A109="Meta"</formula>
    </cfRule>
    <cfRule type="expression" dxfId="118" priority="38" stopIfTrue="1">
      <formula>OR(U$9=0,$A109&lt;&gt;"Serviço")</formula>
    </cfRule>
    <cfRule type="expression" dxfId="117" priority="39" stopIfTrue="1">
      <formula>TipoOrçamento="Licitado"</formula>
    </cfRule>
  </conditionalFormatting>
  <conditionalFormatting sqref="F109:O109">
    <cfRule type="expression" dxfId="116" priority="27" stopIfTrue="1">
      <formula>$A109="Meta"</formula>
    </cfRule>
    <cfRule type="expression" dxfId="115" priority="28" stopIfTrue="1">
      <formula>OR(F$9=0,$A109&lt;&gt;"Serviço")</formula>
    </cfRule>
    <cfRule type="expression" dxfId="114" priority="29" stopIfTrue="1">
      <formula>TipoOrçamento="Licitado"</formula>
    </cfRule>
  </conditionalFormatting>
  <conditionalFormatting sqref="D130:E130">
    <cfRule type="expression" dxfId="113" priority="4" stopIfTrue="1">
      <formula>$A130="Meta"</formula>
    </cfRule>
    <cfRule type="expression" dxfId="112" priority="5" stopIfTrue="1">
      <formula>$A130&lt;&gt;"Serviço"</formula>
    </cfRule>
  </conditionalFormatting>
  <conditionalFormatting sqref="C130">
    <cfRule type="expression" dxfId="111" priority="6" stopIfTrue="1">
      <formula>$A130="Meta"</formula>
    </cfRule>
    <cfRule type="expression" dxfId="110" priority="7" stopIfTrue="1">
      <formula>$A130&lt;&gt;"Serviço"</formula>
    </cfRule>
  </conditionalFormatting>
  <conditionalFormatting sqref="A130:B130">
    <cfRule type="expression" dxfId="109" priority="8" stopIfTrue="1">
      <formula>$A130="Meta"</formula>
    </cfRule>
    <cfRule type="expression" dxfId="108" priority="9" stopIfTrue="1">
      <formula>LEFT($A130,5)="Nível"</formula>
    </cfRule>
    <cfRule type="expression" dxfId="107" priority="10" stopIfTrue="1">
      <formula>$A130=0</formula>
    </cfRule>
  </conditionalFormatting>
  <conditionalFormatting sqref="U130">
    <cfRule type="expression" dxfId="106" priority="11" stopIfTrue="1">
      <formula>$A130="Meta"</formula>
    </cfRule>
    <cfRule type="expression" dxfId="105" priority="12" stopIfTrue="1">
      <formula>OR(U$9=0,$A130&lt;&gt;"Serviço")</formula>
    </cfRule>
    <cfRule type="expression" dxfId="104" priority="13" stopIfTrue="1">
      <formula>TipoOrçamento="Licitado"</formula>
    </cfRule>
  </conditionalFormatting>
  <conditionalFormatting sqref="F130:O130">
    <cfRule type="expression" dxfId="103" priority="1" stopIfTrue="1">
      <formula>$A130="Meta"</formula>
    </cfRule>
    <cfRule type="expression" dxfId="102" priority="2" stopIfTrue="1">
      <formula>OR(F$9=0,$A130&lt;&gt;"Serviço")</formula>
    </cfRule>
    <cfRule type="expression" dxfId="101" priority="3" stopIfTrue="1">
      <formula>TipoOrçamento="Licitado"</formula>
    </cfRule>
  </conditionalFormatting>
  <dataValidations count="1">
    <dataValidation type="decimal" operator="greaterThanOrEqual" allowBlank="1" showInputMessage="1" showErrorMessage="1" error="Digite apenas números._x000a__x000a_preferencialmente com 02 casas de precisão." sqref="U11 F11:O11 F14:O133 U14:U133" xr:uid="{00000000-0002-0000-0300-000000000000}">
      <formula1>0</formula1>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ignoredErrors>
    <ignoredError sqref="B139 B136" unlockedFormula="1"/>
    <ignoredError sqref="A12 C12" 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tabColor rgb="FFFFFF00"/>
    <outlinePr summaryBelow="0"/>
    <pageSetUpPr fitToPage="1"/>
  </sheetPr>
  <dimension ref="A1:AC76"/>
  <sheetViews>
    <sheetView showGridLines="0" tabSelected="1" topLeftCell="L1" zoomScaleNormal="100" zoomScaleSheetLayoutView="100" workbookViewId="0">
      <selection activeCell="Y17" sqref="Y17"/>
    </sheetView>
  </sheetViews>
  <sheetFormatPr defaultRowHeight="12.75" x14ac:dyDescent="0.2"/>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03125" style="42" customWidth="1"/>
    <col min="14" max="14" width="16.42578125" style="47" customWidth="1"/>
    <col min="15" max="15" width="16.5703125" style="42" bestFit="1" customWidth="1"/>
    <col min="16" max="23" width="15.7109375" style="42" customWidth="1"/>
    <col min="24" max="24" width="0.85546875" style="46" customWidth="1"/>
    <col min="25" max="28" width="9.140625" style="42"/>
    <col min="29" max="29" width="15.7109375" style="42" hidden="1" customWidth="1"/>
    <col min="30" max="16384" width="9.140625" style="42"/>
  </cols>
  <sheetData>
    <row r="1" spans="1:29" s="41" customFormat="1" ht="12.95" customHeight="1" x14ac:dyDescent="0.2">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x14ac:dyDescent="0.2">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Base para Licitação</v>
      </c>
      <c r="Q2" s="1"/>
      <c r="R2" s="1"/>
      <c r="S2" s="1"/>
      <c r="T2" s="1"/>
      <c r="U2" s="1"/>
      <c r="V2" s="174"/>
      <c r="W2" s="1"/>
      <c r="X2" s="1"/>
      <c r="AC2" s="1"/>
    </row>
    <row r="3" spans="1:29" s="41" customFormat="1" ht="12.75" customHeight="1" x14ac:dyDescent="0.2">
      <c r="A3" s="1"/>
      <c r="B3" s="1"/>
      <c r="C3" s="1"/>
      <c r="D3" s="1"/>
      <c r="E3" s="1"/>
      <c r="F3" s="1"/>
      <c r="G3" s="1"/>
      <c r="H3" s="1"/>
      <c r="I3" s="1"/>
      <c r="J3" s="1"/>
      <c r="K3" s="1"/>
      <c r="L3" s="1"/>
      <c r="M3" s="1"/>
      <c r="N3" s="1"/>
      <c r="O3" s="1"/>
      <c r="P3" s="1"/>
      <c r="Q3" s="1"/>
      <c r="R3" s="1"/>
      <c r="S3" s="82"/>
      <c r="T3" s="1"/>
      <c r="U3" s="1"/>
      <c r="V3" s="1"/>
      <c r="W3" s="1"/>
      <c r="X3" s="1"/>
      <c r="AC3" s="1"/>
    </row>
    <row r="4" spans="1:29" s="41" customFormat="1" ht="24.95" customHeight="1" x14ac:dyDescent="0.2">
      <c r="A4" s="1"/>
      <c r="B4" s="1"/>
      <c r="C4" s="1"/>
      <c r="D4" s="1"/>
      <c r="E4" s="1"/>
      <c r="F4" s="1"/>
      <c r="G4" s="1"/>
      <c r="H4" s="1"/>
      <c r="I4" s="1"/>
      <c r="J4" s="1"/>
      <c r="K4" s="1"/>
      <c r="L4" s="1"/>
      <c r="M4" s="1"/>
      <c r="N4" s="1"/>
      <c r="O4" s="1"/>
      <c r="P4" s="1"/>
      <c r="Q4" s="1"/>
      <c r="R4" s="1"/>
      <c r="S4" s="1"/>
      <c r="T4" s="1"/>
      <c r="U4" s="1"/>
      <c r="V4" s="1"/>
      <c r="W4" s="1"/>
      <c r="X4" s="1"/>
      <c r="AC4" s="1"/>
    </row>
    <row r="5" spans="1:29" s="41" customFormat="1" ht="24.95" customHeight="1" x14ac:dyDescent="0.2">
      <c r="A5" s="1"/>
      <c r="B5" s="1"/>
      <c r="C5" s="1"/>
      <c r="D5" s="1"/>
      <c r="E5" s="1"/>
      <c r="F5" s="1"/>
      <c r="G5" s="1"/>
      <c r="H5" s="1"/>
      <c r="I5" s="1"/>
      <c r="J5" s="1"/>
      <c r="K5" s="1"/>
      <c r="L5" s="1"/>
      <c r="M5" s="1"/>
      <c r="N5" s="1"/>
      <c r="O5" s="1"/>
      <c r="P5" s="1"/>
      <c r="Q5" s="1"/>
      <c r="R5" s="1"/>
      <c r="S5" s="1"/>
      <c r="T5" s="1"/>
      <c r="U5" s="1"/>
      <c r="V5" s="1"/>
      <c r="W5" s="1"/>
      <c r="X5" s="1"/>
      <c r="AC5" s="1"/>
    </row>
    <row r="6" spans="1:29" s="41" customFormat="1" ht="24.95" customHeight="1" x14ac:dyDescent="0.2">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x14ac:dyDescent="0.2">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x14ac:dyDescent="0.2">
      <c r="A8" s="177" t="s">
        <v>176</v>
      </c>
      <c r="B8" s="1"/>
      <c r="C8" s="1"/>
      <c r="D8" s="1"/>
      <c r="E8" s="1"/>
      <c r="F8" s="1"/>
      <c r="G8" s="1"/>
      <c r="H8" s="1"/>
      <c r="I8" s="1"/>
      <c r="J8" s="1"/>
      <c r="K8" s="1"/>
      <c r="L8" s="381" t="str">
        <f ca="1">IF(MAX($A$14:$A$67)&lt;&gt;MAX(PO!$V$12:$V$134),"ERRO: CRONOGRAMA DESATUALIZADO",IF(OR(COUNTIF($O$16:$X$16,"&gt;1")&gt;0,OFFSET($X$17,0,-1)&lt;&gt;$N$14),"ERRO: CRONOGRAMA NÃO FECHA EM 100%",""))</f>
        <v/>
      </c>
      <c r="M8" s="381"/>
      <c r="N8" s="160" t="str">
        <f>IF(TipoOrçamento="REPROGRAMADOAC","Qtde de Medições realizadas","")</f>
        <v/>
      </c>
      <c r="O8" s="178"/>
      <c r="P8" s="179"/>
      <c r="Q8" s="1"/>
      <c r="R8" s="1"/>
      <c r="S8" s="1"/>
      <c r="T8" s="1"/>
      <c r="U8" s="1"/>
      <c r="V8" s="1"/>
      <c r="W8" s="1"/>
      <c r="X8" s="1"/>
      <c r="AC8" s="1"/>
    </row>
    <row r="9" spans="1:29" s="41" customFormat="1" ht="14.1" customHeight="1" x14ac:dyDescent="0.2">
      <c r="A9" s="166">
        <v>2</v>
      </c>
      <c r="B9" s="1"/>
      <c r="C9" s="1"/>
      <c r="D9" s="1"/>
      <c r="E9" s="1"/>
      <c r="F9" s="1"/>
      <c r="G9" s="1"/>
      <c r="H9" s="1"/>
      <c r="I9" s="1"/>
      <c r="J9" s="1"/>
      <c r="K9" s="1"/>
      <c r="L9" s="82"/>
      <c r="M9" s="82"/>
      <c r="N9" s="159">
        <v>1</v>
      </c>
      <c r="O9" s="149">
        <f>IF(AND(TipoOrçamento="REPROGRAMADOAC",$N$9&gt;0),$N$9-1,0)</f>
        <v>0</v>
      </c>
      <c r="P9" s="148">
        <f t="shared" ref="P9:W9" ca="1" si="0">OFFSET(P9,0,-1)+1</f>
        <v>1</v>
      </c>
      <c r="Q9" s="148">
        <f t="shared" ca="1" si="0"/>
        <v>2</v>
      </c>
      <c r="R9" s="148">
        <f t="shared" ca="1" si="0"/>
        <v>3</v>
      </c>
      <c r="S9" s="148">
        <f t="shared" ca="1" si="0"/>
        <v>4</v>
      </c>
      <c r="T9" s="148">
        <f t="shared" ca="1" si="0"/>
        <v>5</v>
      </c>
      <c r="U9" s="148">
        <f t="shared" ca="1" si="0"/>
        <v>6</v>
      </c>
      <c r="V9" s="148">
        <f t="shared" ca="1" si="0"/>
        <v>7</v>
      </c>
      <c r="W9" s="148">
        <f t="shared" ca="1" si="0"/>
        <v>8</v>
      </c>
      <c r="X9" s="1"/>
      <c r="AC9" s="148">
        <f ca="1">OFFSET(AC9,0,-1)+1</f>
        <v>1</v>
      </c>
    </row>
    <row r="10" spans="1:29" s="43" customFormat="1" ht="30" customHeight="1" x14ac:dyDescent="0.2">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01/08/20</v>
      </c>
      <c r="P10" s="219" t="str">
        <f ca="1">IF(AND(TipoOrçamento="REPROGRAMADOAC",$N$9&gt;0,N10="Valores Totais (R$)"),"Parcela "&amp;$N$9&amp;" Executado","Parcela "&amp;P$9&amp;CHAR(10)&amp;TEXT(DATE(YEAR(DADOS!$A$48),MONTH(DADOS!$A$48)+P$9-IF(AND(TipoOrçamento="REPROGRAMADOAC",$N$9&gt;0),$N$9,0),1),"mmm/aa"))</f>
        <v>Parcela 1
set/20</v>
      </c>
      <c r="Q10" s="210" t="str">
        <f ca="1">IF(AND(TipoOrçamento="REPROGRAMADOAC",$N$9&gt;0,O10="Valores Totais (R$)"),"Parcela "&amp;$N$9&amp;" Executado","Parcela "&amp;Q$9&amp;CHAR(10)&amp;TEXT(DATE(YEAR(DADOS!$A$48),MONTH(DADOS!$A$48)+Q$9-IF(AND(TipoOrçamento="REPROGRAMADOAC",$N$9&gt;0),$N$9,0),1),"mmm/aa"))</f>
        <v>Parcela 2
out/20</v>
      </c>
      <c r="R10" s="210" t="str">
        <f ca="1">IF(AND(TipoOrçamento="REPROGRAMADOAC",$N$9&gt;0,P10="Valores Totais (R$)"),"Parcela "&amp;$N$9&amp;" Executado","Parcela "&amp;R$9&amp;CHAR(10)&amp;TEXT(DATE(YEAR(DADOS!$A$48),MONTH(DADOS!$A$48)+R$9-IF(AND(TipoOrçamento="REPROGRAMADOAC",$N$9&gt;0),$N$9,0),1),"mmm/aa"))</f>
        <v>Parcela 3
nov/20</v>
      </c>
      <c r="S10" s="210" t="str">
        <f ca="1">IF(AND(TipoOrçamento="REPROGRAMADOAC",$N$9&gt;0,Q10="Valores Totais (R$)"),"Parcela "&amp;$N$9&amp;" Executado","Parcela "&amp;S$9&amp;CHAR(10)&amp;TEXT(DATE(YEAR(DADOS!$A$48),MONTH(DADOS!$A$48)+S$9-IF(AND(TipoOrçamento="REPROGRAMADOAC",$N$9&gt;0),$N$9,0),1),"mmm/aa"))</f>
        <v>Parcela 4
dez/20</v>
      </c>
      <c r="T10" s="210" t="str">
        <f ca="1">IF(AND(TipoOrçamento="REPROGRAMADOAC",$N$9&gt;0,R10="Valores Totais (R$)"),"Parcela "&amp;$N$9&amp;" Executado","Parcela "&amp;T$9&amp;CHAR(10)&amp;TEXT(DATE(YEAR(DADOS!$A$48),MONTH(DADOS!$A$48)+T$9-IF(AND(TipoOrçamento="REPROGRAMADOAC",$N$9&gt;0),$N$9,0),1),"mmm/aa"))</f>
        <v>Parcela 5
jan/21</v>
      </c>
      <c r="U10" s="210" t="str">
        <f ca="1">IF(AND(TipoOrçamento="REPROGRAMADOAC",$N$9&gt;0,S10="Valores Totais (R$)"),"Parcela "&amp;$N$9&amp;" Executado","Parcela "&amp;U$9&amp;CHAR(10)&amp;TEXT(DATE(YEAR(DADOS!$A$48),MONTH(DADOS!$A$48)+U$9-IF(AND(TipoOrçamento="REPROGRAMADOAC",$N$9&gt;0),$N$9,0),1),"mmm/aa"))</f>
        <v>Parcela 6
fev/21</v>
      </c>
      <c r="V10" s="210" t="str">
        <f ca="1">IF(AND(TipoOrçamento="REPROGRAMADOAC",$N$9&gt;0,T10="Valores Totais (R$)"),"Parcela "&amp;$N$9&amp;" Executado","Parcela "&amp;V$9&amp;CHAR(10)&amp;TEXT(DATE(YEAR(DADOS!$A$48),MONTH(DADOS!$A$48)+V$9-IF(AND(TipoOrçamento="REPROGRAMADOAC",$N$9&gt;0),$N$9,0),1),"mmm/aa"))</f>
        <v>Parcela 7
mar/21</v>
      </c>
      <c r="W10" s="222" t="str">
        <f ca="1">IF(AND(TipoOrçamento="REPROGRAMADOAC",$N$9&gt;0,U10="Valores Totais (R$)"),"Parcela "&amp;$N$9&amp;" Executado","Parcela "&amp;W$9&amp;CHAR(10)&amp;TEXT(DATE(YEAR(DADOS!$A$48),MONTH(DADOS!$A$48)+W$9-IF(AND(TipoOrçamento="REPROGRAMADOAC",$N$9&gt;0),$N$9,0),1),"mmm/aa"))</f>
        <v>Parcela 8
abr/21</v>
      </c>
      <c r="X10" s="195"/>
      <c r="AC10" s="210" t="str">
        <f ca="1">IF(AND(TipoOrçamento="REPROGRAMADOAC",$N$9&gt;0,AA10="Valores Totais (R$)"),"Parcela "&amp;$N$9&amp;" Executado","Parcela "&amp;AC$9&amp;CHAR(10)&amp;TEXT(DATE(YEAR(DADOS!$A$48),MONTH(DADOS!$A$48)+AC$9-IF(AND(TipoOrçamento="REPROGRAMADOAC",$N$9&gt;0),$N$9,0),1),"mmm/aa"))</f>
        <v>Parcela 1
set/20</v>
      </c>
    </row>
    <row r="11" spans="1:29" customFormat="1" ht="14.25" hidden="1" customHeight="1" x14ac:dyDescent="0.2">
      <c r="A11" s="82"/>
      <c r="B11" s="82"/>
      <c r="C11" s="82"/>
      <c r="D11" s="82"/>
      <c r="E11" s="82"/>
      <c r="F11" s="82"/>
      <c r="G11" s="82"/>
      <c r="H11" s="82"/>
      <c r="I11" s="82"/>
      <c r="J11" s="82"/>
      <c r="K11" s="82"/>
      <c r="L11" s="371" t="e">
        <f ca="1">INDEX(PO!K$12:K$134,MATCH($A13,PO!$V$12:$V$134,0))</f>
        <v>#VALUE!</v>
      </c>
      <c r="M11" s="373" t="e">
        <f ca="1">INDEX(PO!N$12:N$134,MATCH($A13,PO!$V$12:$V$134,0))</f>
        <v>#VALUE!</v>
      </c>
      <c r="N11" s="375" t="e">
        <f ca="1">IF(ROUND(K13,2)=0,K13,ROUND(K13,2))</f>
        <v>#VALUE!</v>
      </c>
      <c r="O11" s="220" t="s">
        <v>143</v>
      </c>
      <c r="P11" s="225" t="e">
        <f ca="1">IF($B13,0,P12-IF(ISNUMBER(O12),O12,0))</f>
        <v>#VALUE!</v>
      </c>
      <c r="Q11" s="226" t="e">
        <f t="shared" ref="Q11:W11" ca="1" si="1">IF($B13,0,Q12-IF(ISNUMBER(P12),P12,0))</f>
        <v>#VALUE!</v>
      </c>
      <c r="R11" s="226" t="e">
        <f t="shared" ca="1" si="1"/>
        <v>#VALUE!</v>
      </c>
      <c r="S11" s="226" t="e">
        <f t="shared" ca="1" si="1"/>
        <v>#VALUE!</v>
      </c>
      <c r="T11" s="226" t="e">
        <f t="shared" ca="1" si="1"/>
        <v>#VALUE!</v>
      </c>
      <c r="U11" s="226" t="e">
        <f t="shared" ca="1" si="1"/>
        <v>#VALUE!</v>
      </c>
      <c r="V11" s="226" t="e">
        <f t="shared" ca="1" si="1"/>
        <v>#VALUE!</v>
      </c>
      <c r="W11" s="227" t="e">
        <f t="shared" ca="1" si="1"/>
        <v>#VALUE!</v>
      </c>
      <c r="X11" s="196"/>
      <c r="AC11" s="221" t="e">
        <f ca="1">IF($B13,0,AC12-IF(ISNUMBER(AB12),AB12,0))</f>
        <v>#VALUE!</v>
      </c>
    </row>
    <row r="12" spans="1:29" customFormat="1" ht="14.25" hidden="1" x14ac:dyDescent="0.2">
      <c r="A12" s="184"/>
      <c r="B12" s="184"/>
      <c r="C12" s="184"/>
      <c r="D12" s="184"/>
      <c r="E12" s="184"/>
      <c r="F12" s="184"/>
      <c r="G12" s="184"/>
      <c r="H12" s="184"/>
      <c r="I12" s="184"/>
      <c r="J12" s="184"/>
      <c r="K12" s="184"/>
      <c r="L12" s="372"/>
      <c r="M12" s="374"/>
      <c r="N12" s="376"/>
      <c r="O12" s="170" t="s">
        <v>145</v>
      </c>
      <c r="P12" s="198" t="e">
        <f ca="1">MIN(IF($B13,P11+IF(ISNUMBER(O12),O12,0),P13/$N11),1)</f>
        <v>#VALUE!</v>
      </c>
      <c r="Q12" s="168" t="e">
        <f t="shared" ref="Q12:W12" ca="1" si="2">MIN(IF($B13,Q11+IF(ISNUMBER(P12),P12,0),Q13/$N11),1)</f>
        <v>#VALUE!</v>
      </c>
      <c r="R12" s="168" t="e">
        <f t="shared" ca="1" si="2"/>
        <v>#VALUE!</v>
      </c>
      <c r="S12" s="168" t="e">
        <f t="shared" ca="1" si="2"/>
        <v>#VALUE!</v>
      </c>
      <c r="T12" s="168" t="e">
        <f t="shared" ca="1" si="2"/>
        <v>#VALUE!</v>
      </c>
      <c r="U12" s="168" t="e">
        <f t="shared" ca="1" si="2"/>
        <v>#VALUE!</v>
      </c>
      <c r="V12" s="168" t="e">
        <f t="shared" ca="1" si="2"/>
        <v>#VALUE!</v>
      </c>
      <c r="W12" s="168" t="e">
        <f t="shared" ca="1" si="2"/>
        <v>#VALUE!</v>
      </c>
      <c r="X12" s="196"/>
      <c r="AC12" s="168" t="e">
        <f ca="1">MIN(IF($B13,AC11+IF(ISNUMBER(AB12),AB12,0),AC13/$N11),1)</f>
        <v>#VALUE!</v>
      </c>
    </row>
    <row r="13" spans="1:29" customFormat="1" ht="14.25" hidden="1" x14ac:dyDescent="0.2">
      <c r="A13" s="184" t="e">
        <f ca="1">OFFSET(A13,-CFF.NumLinha,0)+1</f>
        <v>#VALUE!</v>
      </c>
      <c r="B13" s="184" t="e">
        <f ca="1">$C13&gt;=OFFSET($C13,CFF.NumLinha,0)</f>
        <v>#VALUE!</v>
      </c>
      <c r="C13" s="184" t="e">
        <f ca="1">INDEX(PO!A$12:A$134,MATCH($A13,PO!$V$12:$V$134,0))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MATCH(0,OFFSET($D13,1,$C13,ROW($A$66)-ROW($A13)),0)</f>
        <v>#VALUE!</v>
      </c>
      <c r="J13" s="184" t="e">
        <f ca="1">MATCH(OFFSET($D13,0,$C13)+1,OFFSET($D13,1,$C13,ROW($A$66)-ROW($A13)),0)</f>
        <v>#VALUE!</v>
      </c>
      <c r="K13" s="185" t="e">
        <f ca="1">ROUND(INDEX(PO!T$12:T$134,MATCH($A13,PO!$V$12:$V$134,0)),2)+10^-12</f>
        <v>#VALUE!</v>
      </c>
      <c r="L13" s="372"/>
      <c r="M13" s="374"/>
      <c r="N13" s="376"/>
      <c r="O13" s="204" t="s">
        <v>20</v>
      </c>
      <c r="P13" s="199" t="e">
        <f ca="1">IF($B13,ROUND(P12*$N11,2),ROUND(SUMIF(OFFSET($B13,1,0,$D13),TRUE,OFFSET(P13,1,0,$D13))/SUMIF(OFFSET($B13,1,0,$D13),TRUE,OFFSET($K13,1,0,$D13))*$N11,2))</f>
        <v>#VALUE!</v>
      </c>
      <c r="Q13" s="169" t="e">
        <f t="shared" ref="Q13:W13" ca="1" si="3">IF($B13,ROUND(Q12*$N11,2),ROUND(SUMIF(OFFSET($B13,1,0,$D13),TRUE,OFFSET(Q13,1,0,$D13))/SUMIF(OFFSET($B13,1,0,$D13),TRUE,OFFSET($K13,1,0,$D13))*$N11,2))</f>
        <v>#VALUE!</v>
      </c>
      <c r="R13" s="169" t="e">
        <f t="shared" ca="1" si="3"/>
        <v>#VALUE!</v>
      </c>
      <c r="S13" s="169" t="e">
        <f t="shared" ca="1" si="3"/>
        <v>#VALUE!</v>
      </c>
      <c r="T13" s="169" t="e">
        <f t="shared" ca="1" si="3"/>
        <v>#VALUE!</v>
      </c>
      <c r="U13" s="169" t="e">
        <f t="shared" ca="1" si="3"/>
        <v>#VALUE!</v>
      </c>
      <c r="V13" s="169" t="e">
        <f t="shared" ca="1" si="3"/>
        <v>#VALUE!</v>
      </c>
      <c r="W13" s="207" t="e">
        <f t="shared" ca="1" si="3"/>
        <v>#VALUE!</v>
      </c>
      <c r="X13" s="196"/>
      <c r="AC13" s="169" t="e">
        <f ca="1">IF($B13,ROUND(AC12*$N11,2),ROUND(SUMIF(OFFSET($B13,1,0,$D13),TRUE,OFFSET(AC13,1,0,$D13))/SUMIF(OFFSET($B13,1,0,$D13),TRUE,OFFSET($K13,1,0,$D13))*$N11,2))</f>
        <v>#VALUE!</v>
      </c>
    </row>
    <row r="14" spans="1:29" s="44" customFormat="1" ht="12.75" customHeight="1" x14ac:dyDescent="0.2">
      <c r="A14" s="1"/>
      <c r="B14" s="1"/>
      <c r="C14" s="1"/>
      <c r="D14" s="1"/>
      <c r="E14" s="1"/>
      <c r="F14" s="1"/>
      <c r="G14" s="1"/>
      <c r="H14" s="1"/>
      <c r="I14" s="1"/>
      <c r="J14" s="1"/>
      <c r="K14" s="1"/>
      <c r="L14" s="383" t="s">
        <v>19</v>
      </c>
      <c r="M14" s="384"/>
      <c r="N14" s="389">
        <f ca="1">IF(PO!$T$12=0,10^-12,PO!$T$12)</f>
        <v>482701.42999999993</v>
      </c>
      <c r="O14" s="167" t="s">
        <v>143</v>
      </c>
      <c r="P14" s="205">
        <f ca="1">ROUND(P15/$N14,4)</f>
        <v>0.17730000000000001</v>
      </c>
      <c r="Q14" s="206">
        <f t="shared" ref="Q14:W14" ca="1" si="4">ROUND(Q15/$N14,4)</f>
        <v>0.14419999999999999</v>
      </c>
      <c r="R14" s="206">
        <f t="shared" ca="1" si="4"/>
        <v>0.26090000000000002</v>
      </c>
      <c r="S14" s="206">
        <f t="shared" ca="1" si="4"/>
        <v>0.2717</v>
      </c>
      <c r="T14" s="206">
        <f t="shared" ca="1" si="4"/>
        <v>0.14599999999999999</v>
      </c>
      <c r="U14" s="206">
        <f t="shared" ca="1" si="4"/>
        <v>0</v>
      </c>
      <c r="V14" s="206">
        <f t="shared" ca="1" si="4"/>
        <v>0</v>
      </c>
      <c r="W14" s="206">
        <f t="shared" ca="1" si="4"/>
        <v>0</v>
      </c>
      <c r="X14" s="171"/>
      <c r="AC14" s="206">
        <f ca="1">ROUND(AC15/$N14,4)</f>
        <v>0</v>
      </c>
    </row>
    <row r="15" spans="1:29" s="44" customFormat="1" ht="12.75" customHeight="1" x14ac:dyDescent="0.2">
      <c r="A15" s="1"/>
      <c r="B15" s="1"/>
      <c r="C15" s="1"/>
      <c r="D15" s="1"/>
      <c r="E15" s="1"/>
      <c r="F15" s="1"/>
      <c r="G15" s="1"/>
      <c r="H15" s="1"/>
      <c r="I15" s="1"/>
      <c r="J15" s="1"/>
      <c r="K15" s="1"/>
      <c r="L15" s="385"/>
      <c r="M15" s="386"/>
      <c r="N15" s="390"/>
      <c r="O15" s="156" t="s">
        <v>144</v>
      </c>
      <c r="P15" s="200">
        <f ca="1">P17-IF(ISNUMBER(O17),O17,0)</f>
        <v>85561.85</v>
      </c>
      <c r="Q15" s="150">
        <f t="shared" ref="Q15:W15" ca="1" si="5">Q17-IF(ISNUMBER(P17),P17,0)</f>
        <v>69589.109999999986</v>
      </c>
      <c r="R15" s="150">
        <f t="shared" ca="1" si="5"/>
        <v>125940.93999999997</v>
      </c>
      <c r="S15" s="150">
        <f t="shared" ca="1" si="5"/>
        <v>131150.06</v>
      </c>
      <c r="T15" s="150">
        <f t="shared" ca="1" si="5"/>
        <v>70459.47000000003</v>
      </c>
      <c r="U15" s="150">
        <f t="shared" ca="1" si="5"/>
        <v>0</v>
      </c>
      <c r="V15" s="150">
        <f t="shared" ca="1" si="5"/>
        <v>0</v>
      </c>
      <c r="W15" s="150">
        <f t="shared" ca="1" si="5"/>
        <v>0</v>
      </c>
      <c r="X15" s="171"/>
      <c r="AC15" s="150">
        <f ca="1">AC17-IF(ISNUMBER(AB17),AB17,0)</f>
        <v>0</v>
      </c>
    </row>
    <row r="16" spans="1:29" s="44" customFormat="1" ht="12.75" customHeight="1" x14ac:dyDescent="0.2">
      <c r="A16" s="1"/>
      <c r="B16" s="1"/>
      <c r="C16" s="1"/>
      <c r="D16" s="1"/>
      <c r="E16" s="1"/>
      <c r="F16" s="1"/>
      <c r="G16" s="1"/>
      <c r="H16" s="1"/>
      <c r="I16" s="1"/>
      <c r="J16" s="1"/>
      <c r="K16" s="1"/>
      <c r="L16" s="385"/>
      <c r="M16" s="386"/>
      <c r="N16" s="390"/>
      <c r="O16" s="157" t="s">
        <v>145</v>
      </c>
      <c r="P16" s="201">
        <f ca="1">ROUND(P17/$N14,4)</f>
        <v>0.17730000000000001</v>
      </c>
      <c r="Q16" s="151">
        <f t="shared" ref="Q16:W16" ca="1" si="6">ROUND(Q17/$N14,4)</f>
        <v>0.32140000000000002</v>
      </c>
      <c r="R16" s="151">
        <f t="shared" ca="1" si="6"/>
        <v>0.58230000000000004</v>
      </c>
      <c r="S16" s="151">
        <f t="shared" ca="1" si="6"/>
        <v>0.85399999999999998</v>
      </c>
      <c r="T16" s="151">
        <f t="shared" ca="1" si="6"/>
        <v>1</v>
      </c>
      <c r="U16" s="151">
        <f t="shared" ca="1" si="6"/>
        <v>1</v>
      </c>
      <c r="V16" s="151">
        <f t="shared" ca="1" si="6"/>
        <v>1</v>
      </c>
      <c r="W16" s="151">
        <f t="shared" ca="1" si="6"/>
        <v>1</v>
      </c>
      <c r="X16" s="171"/>
      <c r="AC16" s="151">
        <f ca="1">ROUND(AC17/$N14,4)</f>
        <v>0</v>
      </c>
    </row>
    <row r="17" spans="1:29" s="44" customFormat="1" ht="12.75" customHeight="1" x14ac:dyDescent="0.2">
      <c r="A17" s="114">
        <v>0</v>
      </c>
      <c r="B17" s="1"/>
      <c r="C17" s="1"/>
      <c r="D17" s="114">
        <f>ROW(D$66)-ROW(D18)</f>
        <v>48</v>
      </c>
      <c r="E17" s="1"/>
      <c r="F17" s="1"/>
      <c r="G17" s="1"/>
      <c r="H17" s="1"/>
      <c r="I17" s="1"/>
      <c r="J17" s="1"/>
      <c r="K17" s="1"/>
      <c r="L17" s="387"/>
      <c r="M17" s="388"/>
      <c r="N17" s="391"/>
      <c r="O17" s="158" t="s">
        <v>20</v>
      </c>
      <c r="P17" s="202">
        <f ca="1">SUMIF(OFFSET($C17,1,0):$C$66,1,OFFSET(P17,1,0):P$66)</f>
        <v>85561.85</v>
      </c>
      <c r="Q17" s="152">
        <f ca="1">SUMIF(OFFSET($C17,1,0):$C$66,1,OFFSET(Q17,1,0):Q$66)</f>
        <v>155150.96</v>
      </c>
      <c r="R17" s="152">
        <f ca="1">SUMIF(OFFSET($C17,1,0):$C$66,1,OFFSET(R17,1,0):R$66)</f>
        <v>281091.89999999997</v>
      </c>
      <c r="S17" s="152">
        <f ca="1">SUMIF(OFFSET($C17,1,0):$C$66,1,OFFSET(S17,1,0):S$66)</f>
        <v>412241.95999999996</v>
      </c>
      <c r="T17" s="152">
        <f ca="1">SUMIF(OFFSET($C17,1,0):$C$66,1,OFFSET(T17,1,0):T$66)</f>
        <v>482701.43</v>
      </c>
      <c r="U17" s="152">
        <f ca="1">SUMIF(OFFSET($C17,1,0):$C$66,1,OFFSET(U17,1,0):U$66)</f>
        <v>482701.43</v>
      </c>
      <c r="V17" s="152">
        <f ca="1">SUMIF(OFFSET($C17,1,0):$C$66,1,OFFSET(V17,1,0):V$66)</f>
        <v>482701.43</v>
      </c>
      <c r="W17" s="152">
        <f ca="1">SUMIF(OFFSET($C17,1,0):$C$66,1,OFFSET(W17,1,0):W$66)</f>
        <v>482701.43</v>
      </c>
      <c r="X17" s="171"/>
      <c r="AC17" s="152">
        <f ca="1">SUMIF(OFFSET($C17,1,0):$C$66,1,OFFSET(AC17,1,0):AC$66)</f>
        <v>0</v>
      </c>
    </row>
    <row r="18" spans="1:29" customFormat="1" ht="14.25" customHeight="1" x14ac:dyDescent="0.2">
      <c r="A18" s="1"/>
      <c r="B18" s="1"/>
      <c r="C18" s="1"/>
      <c r="D18" s="1"/>
      <c r="E18" s="1"/>
      <c r="F18" s="1"/>
      <c r="G18" s="1"/>
      <c r="H18" s="1"/>
      <c r="I18" s="1"/>
      <c r="J18" s="1"/>
      <c r="K18" s="1"/>
      <c r="L18" s="371" t="str">
        <f ca="1">INDEX(PO!K$12:K$134,MATCH($A20,PO!$V$12:$V$134,0))</f>
        <v>1.</v>
      </c>
      <c r="M18" s="373" t="str">
        <f ca="1">INDEX(PO!N$12:N$134,MATCH($A20,PO!$V$12:$V$134,0))</f>
        <v>SERVIÇOS INICIAIS</v>
      </c>
      <c r="N18" s="375">
        <f ca="1">IF(ROUND(K20,2)=0,K20,ROUND(K20,2))</f>
        <v>31572.52</v>
      </c>
      <c r="O18" s="203" t="s">
        <v>143</v>
      </c>
      <c r="P18" s="225">
        <v>1</v>
      </c>
      <c r="Q18" s="226">
        <f t="shared" ref="Q18:W18" ca="1" si="7">IF($B20,0,Q19-IF(ISNUMBER(P19),P19,0))</f>
        <v>0</v>
      </c>
      <c r="R18" s="226">
        <f t="shared" ca="1" si="7"/>
        <v>0</v>
      </c>
      <c r="S18" s="226">
        <f t="shared" ca="1" si="7"/>
        <v>0</v>
      </c>
      <c r="T18" s="226">
        <f t="shared" ca="1" si="7"/>
        <v>0</v>
      </c>
      <c r="U18" s="226">
        <f t="shared" ca="1" si="7"/>
        <v>0</v>
      </c>
      <c r="V18" s="226">
        <f t="shared" ca="1" si="7"/>
        <v>0</v>
      </c>
      <c r="W18" s="227">
        <f t="shared" ca="1" si="7"/>
        <v>0</v>
      </c>
      <c r="X18" s="197" t="s">
        <v>106</v>
      </c>
      <c r="AC18" s="221">
        <f ca="1">IF($B20,0,AC19-IF(ISNUMBER(AB19),AB19,0))</f>
        <v>0</v>
      </c>
    </row>
    <row r="19" spans="1:29" customFormat="1" ht="14.25" x14ac:dyDescent="0.2">
      <c r="A19" s="1"/>
      <c r="B19" s="1"/>
      <c r="C19" s="1"/>
      <c r="D19" s="1"/>
      <c r="E19" s="1"/>
      <c r="F19" s="1"/>
      <c r="G19" s="1"/>
      <c r="H19" s="1"/>
      <c r="I19" s="1"/>
      <c r="J19" s="1"/>
      <c r="K19" s="1"/>
      <c r="L19" s="372"/>
      <c r="M19" s="374"/>
      <c r="N19" s="376"/>
      <c r="O19" s="170" t="s">
        <v>145</v>
      </c>
      <c r="P19" s="198">
        <f t="shared" ref="P19:W19" ca="1" si="8">MIN(IF($B20,P18+IF(ISNUMBER(O19),O19,0),P20/$N18),1)</f>
        <v>1</v>
      </c>
      <c r="Q19" s="168">
        <f t="shared" ca="1" si="8"/>
        <v>1</v>
      </c>
      <c r="R19" s="168">
        <f t="shared" ca="1" si="8"/>
        <v>1</v>
      </c>
      <c r="S19" s="168">
        <f t="shared" ca="1" si="8"/>
        <v>1</v>
      </c>
      <c r="T19" s="168">
        <f t="shared" ca="1" si="8"/>
        <v>1</v>
      </c>
      <c r="U19" s="168">
        <f t="shared" ca="1" si="8"/>
        <v>1</v>
      </c>
      <c r="V19" s="168">
        <f t="shared" ca="1" si="8"/>
        <v>1</v>
      </c>
      <c r="W19" s="168">
        <f t="shared" ca="1" si="8"/>
        <v>1</v>
      </c>
      <c r="X19" s="196"/>
      <c r="AC19" s="168">
        <f ca="1">MIN(IF($B20,AC18+IF(ISNUMBER(AB19),AB19,0),AC20/$N18),1)</f>
        <v>0</v>
      </c>
    </row>
    <row r="20" spans="1:29" customFormat="1" ht="14.25" x14ac:dyDescent="0.2">
      <c r="A20" s="114">
        <f ca="1">OFFSET(A20,-CFF.NumLinha,0)+1</f>
        <v>1</v>
      </c>
      <c r="B20" s="1" t="b">
        <f ca="1">$C20&gt;=OFFSET($C20,CFF.NumLinha,0)</f>
        <v>1</v>
      </c>
      <c r="C20" s="184">
        <f ca="1">INDEX(PO!A$12:A$134,MATCH($A20,PO!$V$12:$V$134,0))</f>
        <v>1</v>
      </c>
      <c r="D20" s="184">
        <f ca="1">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MATCH(0,OFFSET($D20,1,$C20,ROW($A$66)-ROW($A20)),0)</f>
        <v>46</v>
      </c>
      <c r="J20" s="184">
        <f ca="1">MATCH(OFFSET($D20,0,$C20)+1,OFFSET($D20,1,$C20,ROW($A$66)-ROW($A20)),0)</f>
        <v>3</v>
      </c>
      <c r="K20" s="185">
        <f ca="1">ROUND(INDEX(PO!T$12:T$134,MATCH($A20,PO!$V$12:$V$134,0)),2)+10^-12</f>
        <v>31572.52</v>
      </c>
      <c r="L20" s="372"/>
      <c r="M20" s="374"/>
      <c r="N20" s="376"/>
      <c r="O20" s="204" t="s">
        <v>20</v>
      </c>
      <c r="P20" s="199">
        <f t="shared" ref="P20:W20" ca="1" si="9">IF($B20,ROUND(P19*$N18,2),ROUND(SUMIF(OFFSET($B20,1,0,$D20),TRUE,OFFSET(P20,1,0,$D20))/SUMIF(OFFSET($B20,1,0,$D20),TRUE,OFFSET($K20,1,0,$D20))*$N18,2))</f>
        <v>31572.52</v>
      </c>
      <c r="Q20" s="169">
        <f t="shared" ca="1" si="9"/>
        <v>31572.52</v>
      </c>
      <c r="R20" s="169">
        <f t="shared" ca="1" si="9"/>
        <v>31572.52</v>
      </c>
      <c r="S20" s="169">
        <f t="shared" ca="1" si="9"/>
        <v>31572.52</v>
      </c>
      <c r="T20" s="169">
        <f t="shared" ca="1" si="9"/>
        <v>31572.52</v>
      </c>
      <c r="U20" s="169">
        <f t="shared" ca="1" si="9"/>
        <v>31572.52</v>
      </c>
      <c r="V20" s="169">
        <f t="shared" ca="1" si="9"/>
        <v>31572.52</v>
      </c>
      <c r="W20" s="207">
        <f t="shared" ca="1" si="9"/>
        <v>31572.52</v>
      </c>
      <c r="X20" s="196"/>
      <c r="AC20" s="169">
        <f ca="1">IF($B20,ROUND(AC19*$N18,2),ROUND(SUMIF(OFFSET($B20,1,0,$D20),TRUE,OFFSET(AC20,1,0,$D20))/SUMIF(OFFSET($B20,1,0,$D20),TRUE,OFFSET($K20,1,0,$D20))*$N18,2))</f>
        <v>0</v>
      </c>
    </row>
    <row r="21" spans="1:29" customFormat="1" ht="14.25" customHeight="1" x14ac:dyDescent="0.2">
      <c r="A21" s="82"/>
      <c r="B21" s="82"/>
      <c r="C21" s="82"/>
      <c r="D21" s="82"/>
      <c r="E21" s="82"/>
      <c r="F21" s="82"/>
      <c r="G21" s="82"/>
      <c r="H21" s="82"/>
      <c r="I21" s="82"/>
      <c r="J21" s="82"/>
      <c r="K21" s="82"/>
      <c r="L21" s="371" t="str">
        <f ca="1">INDEX(PO!K$12:K$134,MATCH($A23,PO!$V$12:$V$134,0))</f>
        <v>2.</v>
      </c>
      <c r="M21" s="373" t="str">
        <f ca="1">INDEX(PO!N$12:N$134,MATCH($A23,PO!$V$12:$V$134,0))</f>
        <v>REVESTIMENTOS EXTERNOS</v>
      </c>
      <c r="N21" s="375">
        <f t="shared" ref="N21" ca="1" si="10">IF(ROUND(K23,2)=0,K23,ROUND(K23,2))</f>
        <v>58847.37</v>
      </c>
      <c r="O21" s="220" t="s">
        <v>143</v>
      </c>
      <c r="P21" s="225">
        <v>0.8</v>
      </c>
      <c r="Q21" s="226">
        <v>0.2</v>
      </c>
      <c r="R21" s="226">
        <f t="shared" ref="R21" ca="1" si="11">IF($B23,0,R22-IF(ISNUMBER(Q22),Q22,0))</f>
        <v>0</v>
      </c>
      <c r="S21" s="226">
        <f t="shared" ref="S21" ca="1" si="12">IF($B23,0,S22-IF(ISNUMBER(R22),R22,0))</f>
        <v>0</v>
      </c>
      <c r="T21" s="226">
        <f t="shared" ref="T21" ca="1" si="13">IF($B23,0,T22-IF(ISNUMBER(S22),S22,0))</f>
        <v>0</v>
      </c>
      <c r="U21" s="226">
        <f t="shared" ref="U21" ca="1" si="14">IF($B23,0,U22-IF(ISNUMBER(T22),T22,0))</f>
        <v>0</v>
      </c>
      <c r="V21" s="226">
        <f t="shared" ref="V21" ca="1" si="15">IF($B23,0,V22-IF(ISNUMBER(U22),U22,0))</f>
        <v>0</v>
      </c>
      <c r="W21" s="227">
        <f t="shared" ref="W21" ca="1" si="16">IF($B23,0,W22-IF(ISNUMBER(V22),V22,0))</f>
        <v>0</v>
      </c>
      <c r="X21" s="196"/>
      <c r="AC21" s="221">
        <f t="shared" ref="AC21" ca="1" si="17">IF($B23,0,AC22-IF(ISNUMBER(AB22),AB22,0))</f>
        <v>0</v>
      </c>
    </row>
    <row r="22" spans="1:29" customFormat="1" ht="14.25" x14ac:dyDescent="0.2">
      <c r="A22" s="184"/>
      <c r="B22" s="184"/>
      <c r="C22" s="184"/>
      <c r="D22" s="184"/>
      <c r="E22" s="184"/>
      <c r="F22" s="184"/>
      <c r="G22" s="184"/>
      <c r="H22" s="184"/>
      <c r="I22" s="184"/>
      <c r="J22" s="184"/>
      <c r="K22" s="184"/>
      <c r="L22" s="372"/>
      <c r="M22" s="374"/>
      <c r="N22" s="376"/>
      <c r="O22" s="170" t="s">
        <v>145</v>
      </c>
      <c r="P22" s="198">
        <f t="shared" ref="P22" ca="1" si="18">MIN(IF($B23,P21+IF(ISNUMBER(O22),O22,0),P23/$N21),1)</f>
        <v>0.8</v>
      </c>
      <c r="Q22" s="168">
        <f t="shared" ref="Q22" ca="1" si="19">MIN(IF($B23,Q21+IF(ISNUMBER(P22),P22,0),Q23/$N21),1)</f>
        <v>1</v>
      </c>
      <c r="R22" s="168">
        <f t="shared" ref="R22" ca="1" si="20">MIN(IF($B23,R21+IF(ISNUMBER(Q22),Q22,0),R23/$N21),1)</f>
        <v>1</v>
      </c>
      <c r="S22" s="168">
        <f t="shared" ref="S22" ca="1" si="21">MIN(IF($B23,S21+IF(ISNUMBER(R22),R22,0),S23/$N21),1)</f>
        <v>1</v>
      </c>
      <c r="T22" s="168">
        <f t="shared" ref="T22" ca="1" si="22">MIN(IF($B23,T21+IF(ISNUMBER(S22),S22,0),T23/$N21),1)</f>
        <v>1</v>
      </c>
      <c r="U22" s="168">
        <f t="shared" ref="U22" ca="1" si="23">MIN(IF($B23,U21+IF(ISNUMBER(T22),T22,0),U23/$N21),1)</f>
        <v>1</v>
      </c>
      <c r="V22" s="168">
        <f t="shared" ref="V22" ca="1" si="24">MIN(IF($B23,V21+IF(ISNUMBER(U22),U22,0),V23/$N21),1)</f>
        <v>1</v>
      </c>
      <c r="W22" s="168">
        <f t="shared" ref="W22" ca="1" si="25">MIN(IF($B23,W21+IF(ISNUMBER(V22),V22,0),W23/$N21),1)</f>
        <v>1</v>
      </c>
      <c r="X22" s="196"/>
      <c r="AC22" s="168">
        <f t="shared" ref="AC22" ca="1" si="26">MIN(IF($B23,AC21+IF(ISNUMBER(AB22),AB22,0),AC23/$N21),1)</f>
        <v>0</v>
      </c>
    </row>
    <row r="23" spans="1:29" customFormat="1" ht="14.25" x14ac:dyDescent="0.2">
      <c r="A23" s="184">
        <f ca="1">OFFSET(A23,-CFF.NumLinha,0)+1</f>
        <v>2</v>
      </c>
      <c r="B23" s="184" t="b">
        <f ca="1">$C23&gt;=OFFSET($C23,CFF.NumLinha,0)</f>
        <v>1</v>
      </c>
      <c r="C23" s="184">
        <f ca="1">INDEX(PO!A$12:A$134,MATCH($A23,PO!$V$12:$V$134,0))</f>
        <v>1</v>
      </c>
      <c r="D23" s="184">
        <f t="shared" ref="D23" ca="1" si="27">IF(ISERROR(J23),I23,SMALL(I23:J23,1))-1</f>
        <v>2</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t="shared" ref="I23" ca="1" si="28">MATCH(0,OFFSET($D23,1,$C23,ROW($A$66)-ROW($A23)),0)</f>
        <v>43</v>
      </c>
      <c r="J23" s="184">
        <f t="shared" ref="J23" ca="1" si="29">MATCH(OFFSET($D23,0,$C23)+1,OFFSET($D23,1,$C23,ROW($A$66)-ROW($A23)),0)</f>
        <v>3</v>
      </c>
      <c r="K23" s="185">
        <f ca="1">ROUND(INDEX(PO!T$12:T$134,MATCH($A23,PO!$V$12:$V$134,0)),2)+10^-12</f>
        <v>58847.37</v>
      </c>
      <c r="L23" s="372"/>
      <c r="M23" s="374"/>
      <c r="N23" s="376"/>
      <c r="O23" s="204" t="s">
        <v>20</v>
      </c>
      <c r="P23" s="199">
        <f t="shared" ref="P23:W23" ca="1" si="30">IF($B23,ROUND(P22*$N21,2),ROUND(SUMIF(OFFSET($B23,1,0,$D23),TRUE,OFFSET(P23,1,0,$D23))/SUMIF(OFFSET($B23,1,0,$D23),TRUE,OFFSET($K23,1,0,$D23))*$N21,2))</f>
        <v>47077.9</v>
      </c>
      <c r="Q23" s="169">
        <f t="shared" ca="1" si="30"/>
        <v>58847.37</v>
      </c>
      <c r="R23" s="169">
        <f t="shared" ca="1" si="30"/>
        <v>58847.37</v>
      </c>
      <c r="S23" s="169">
        <f t="shared" ca="1" si="30"/>
        <v>58847.37</v>
      </c>
      <c r="T23" s="169">
        <f t="shared" ca="1" si="30"/>
        <v>58847.37</v>
      </c>
      <c r="U23" s="169">
        <f t="shared" ca="1" si="30"/>
        <v>58847.37</v>
      </c>
      <c r="V23" s="169">
        <f t="shared" ca="1" si="30"/>
        <v>58847.37</v>
      </c>
      <c r="W23" s="207">
        <f t="shared" ca="1" si="30"/>
        <v>58847.37</v>
      </c>
      <c r="X23" s="196"/>
      <c r="AC23" s="169">
        <f t="shared" ref="AC23" ca="1" si="31">IF($B23,ROUND(AC22*$N21,2),ROUND(SUMIF(OFFSET($B23,1,0,$D23),TRUE,OFFSET(AC23,1,0,$D23))/SUMIF(OFFSET($B23,1,0,$D23),TRUE,OFFSET($K23,1,0,$D23))*$N21,2))</f>
        <v>0</v>
      </c>
    </row>
    <row r="24" spans="1:29" customFormat="1" ht="14.25" customHeight="1" x14ac:dyDescent="0.2">
      <c r="A24" s="82"/>
      <c r="B24" s="82"/>
      <c r="C24" s="82"/>
      <c r="D24" s="82"/>
      <c r="E24" s="82"/>
      <c r="F24" s="82"/>
      <c r="G24" s="82"/>
      <c r="H24" s="82"/>
      <c r="I24" s="82"/>
      <c r="J24" s="82"/>
      <c r="K24" s="82"/>
      <c r="L24" s="371" t="str">
        <f ca="1">INDEX(PO!K$12:K$134,MATCH($A26,PO!$V$12:$V$134,0))</f>
        <v>3.</v>
      </c>
      <c r="M24" s="373" t="str">
        <f ca="1">INDEX(PO!N$12:N$134,MATCH($A26,PO!$V$12:$V$134,0))</f>
        <v>PAVIMENTO TÉRREO</v>
      </c>
      <c r="N24" s="375">
        <f t="shared" ref="N24" ca="1" si="32">IF(ROUND(K26,2)=0,K26,ROUND(K26,2))</f>
        <v>232977.69</v>
      </c>
      <c r="O24" s="220" t="s">
        <v>143</v>
      </c>
      <c r="P24" s="225">
        <v>0.25</v>
      </c>
      <c r="Q24" s="226">
        <v>0.5</v>
      </c>
      <c r="R24" s="226">
        <v>0.25</v>
      </c>
      <c r="S24" s="226">
        <f t="shared" ref="S24" ca="1" si="33">IF($B26,0,S25-IF(ISNUMBER(R25),R25,0))</f>
        <v>0.30869509436719034</v>
      </c>
      <c r="T24" s="226">
        <f t="shared" ref="T24" ca="1" si="34">IF($B26,0,T25-IF(ISNUMBER(S25),S25,0))</f>
        <v>0.19411738523117805</v>
      </c>
      <c r="U24" s="226">
        <f t="shared" ref="U24" ca="1" si="35">IF($B26,0,U25-IF(ISNUMBER(T25),T25,0))</f>
        <v>0</v>
      </c>
      <c r="V24" s="226">
        <f t="shared" ref="V24" ca="1" si="36">IF($B26,0,V25-IF(ISNUMBER(U25),U25,0))</f>
        <v>0</v>
      </c>
      <c r="W24" s="227">
        <f t="shared" ref="W24" ca="1" si="37">IF($B26,0,W25-IF(ISNUMBER(V25),V25,0))</f>
        <v>0</v>
      </c>
      <c r="X24" s="196"/>
      <c r="AC24" s="221">
        <f t="shared" ref="AC24" ca="1" si="38">IF($B26,0,AC25-IF(ISNUMBER(AB25),AB25,0))</f>
        <v>0</v>
      </c>
    </row>
    <row r="25" spans="1:29" customFormat="1" ht="14.25" x14ac:dyDescent="0.2">
      <c r="A25" s="184"/>
      <c r="B25" s="184"/>
      <c r="C25" s="184"/>
      <c r="D25" s="184"/>
      <c r="E25" s="184"/>
      <c r="F25" s="184"/>
      <c r="G25" s="184"/>
      <c r="H25" s="184"/>
      <c r="I25" s="184"/>
      <c r="J25" s="184"/>
      <c r="K25" s="184"/>
      <c r="L25" s="372"/>
      <c r="M25" s="374"/>
      <c r="N25" s="376"/>
      <c r="O25" s="170" t="s">
        <v>145</v>
      </c>
      <c r="P25" s="198">
        <f t="shared" ref="P25" ca="1" si="39">MIN(IF($B26,P24+IF(ISNUMBER(O25),O25,0),P26/$N24),1)</f>
        <v>0</v>
      </c>
      <c r="Q25" s="168">
        <f t="shared" ref="Q25" ca="1" si="40">MIN(IF($B26,Q24+IF(ISNUMBER(P25),P25,0),Q26/$N24),1)</f>
        <v>0.11070029924324513</v>
      </c>
      <c r="R25" s="168">
        <f t="shared" ref="R25" ca="1" si="41">MIN(IF($B26,R24+IF(ISNUMBER(Q25),Q25,0),R26/$N24),1)</f>
        <v>0.49718752040163161</v>
      </c>
      <c r="S25" s="168">
        <f t="shared" ref="S25" ca="1" si="42">MIN(IF($B26,S24+IF(ISNUMBER(R25),R25,0),S26/$N24),1)</f>
        <v>0.80588261476882195</v>
      </c>
      <c r="T25" s="168">
        <f t="shared" ref="T25" ca="1" si="43">MIN(IF($B26,T24+IF(ISNUMBER(S25),S25,0),T26/$N24),1)</f>
        <v>1</v>
      </c>
      <c r="U25" s="168">
        <f t="shared" ref="U25" ca="1" si="44">MIN(IF($B26,U24+IF(ISNUMBER(T25),T25,0),U26/$N24),1)</f>
        <v>1</v>
      </c>
      <c r="V25" s="168">
        <f t="shared" ref="V25" ca="1" si="45">MIN(IF($B26,V24+IF(ISNUMBER(U25),U25,0),V26/$N24),1)</f>
        <v>1</v>
      </c>
      <c r="W25" s="168">
        <f t="shared" ref="W25" ca="1" si="46">MIN(IF($B26,W24+IF(ISNUMBER(V25),V25,0),W26/$N24),1)</f>
        <v>1</v>
      </c>
      <c r="X25" s="196"/>
      <c r="AC25" s="168">
        <f t="shared" ref="AC25" ca="1" si="47">MIN(IF($B26,AC24+IF(ISNUMBER(AB25),AB25,0),AC26/$N24),1)</f>
        <v>0</v>
      </c>
    </row>
    <row r="26" spans="1:29" customFormat="1" ht="14.25" x14ac:dyDescent="0.2">
      <c r="A26" s="184">
        <f ca="1">OFFSET(A26,-CFF.NumLinha,0)+1</f>
        <v>3</v>
      </c>
      <c r="B26" s="184" t="b">
        <f ca="1">$C26&gt;=OFFSET($C26,CFF.NumLinha,0)</f>
        <v>0</v>
      </c>
      <c r="C26" s="184">
        <f ca="1">INDEX(PO!A$12:A$134,MATCH($A26,PO!$V$12:$V$134,0))</f>
        <v>1</v>
      </c>
      <c r="D26" s="184">
        <f t="shared" ref="D26" ca="1" si="48">IF(ISERROR(J26),I26,SMALL(I26:J26,1))-1</f>
        <v>17</v>
      </c>
      <c r="E26" s="184">
        <f ca="1">IF($C26=1,OFFSET(E26,-CFF.NumLinha,0)+1,OFFSET(E26,-CFF.NumLinha,0))</f>
        <v>3</v>
      </c>
      <c r="F26" s="184">
        <f ca="1">IF($C26=1,0,IF($C26=2,OFFSET(F26,-CFF.NumLinha,0)+1,OFFSET(F26,-CFF.NumLinha,0)))</f>
        <v>0</v>
      </c>
      <c r="G26" s="184">
        <f ca="1">IF(AND($C26&lt;=2,$C26&lt;&gt;0),0,IF($C26=3,OFFSET(G26,-CFF.NumLinha,0)+1,OFFSET(G26,-CFF.NumLinha,0)))</f>
        <v>0</v>
      </c>
      <c r="H26" s="184">
        <f ca="1">IF(AND($C26&lt;=3,$C26&lt;&gt;0),0,IF($C26=4,OFFSET(H26,-CFF.NumLinha,0)+1,OFFSET(H26,-CFF.NumLinha,0)))</f>
        <v>0</v>
      </c>
      <c r="I26" s="184">
        <f t="shared" ref="I26" ca="1" si="49">MATCH(0,OFFSET($D26,1,$C26,ROW($A$66)-ROW($A26)),0)</f>
        <v>40</v>
      </c>
      <c r="J26" s="184">
        <f t="shared" ref="J26" ca="1" si="50">MATCH(OFFSET($D26,0,$C26)+1,OFFSET($D26,1,$C26,ROW($A$66)-ROW($A26)),0)</f>
        <v>18</v>
      </c>
      <c r="K26" s="185">
        <f ca="1">ROUND(INDEX(PO!T$12:T$134,MATCH($A26,PO!$V$12:$V$134,0)),2)+10^-12</f>
        <v>232977.69</v>
      </c>
      <c r="L26" s="372"/>
      <c r="M26" s="374"/>
      <c r="N26" s="376"/>
      <c r="O26" s="204" t="s">
        <v>20</v>
      </c>
      <c r="P26" s="199">
        <f t="shared" ref="P26:W26" ca="1" si="51">IF($B26,ROUND(P25*$N24,2),ROUND(SUMIF(OFFSET($B26,1,0,$D26),TRUE,OFFSET(P26,1,0,$D26))/SUMIF(OFFSET($B26,1,0,$D26),TRUE,OFFSET($K26,1,0,$D26))*$N24,2))</f>
        <v>0</v>
      </c>
      <c r="Q26" s="169">
        <f t="shared" ca="1" si="51"/>
        <v>25790.7</v>
      </c>
      <c r="R26" s="169">
        <f t="shared" ca="1" si="51"/>
        <v>115833.60000000001</v>
      </c>
      <c r="S26" s="169">
        <f t="shared" ca="1" si="51"/>
        <v>187752.67</v>
      </c>
      <c r="T26" s="169">
        <f t="shared" ca="1" si="51"/>
        <v>232977.69</v>
      </c>
      <c r="U26" s="169">
        <f t="shared" ca="1" si="51"/>
        <v>232977.69</v>
      </c>
      <c r="V26" s="169">
        <f t="shared" ca="1" si="51"/>
        <v>232977.69</v>
      </c>
      <c r="W26" s="207">
        <f t="shared" ca="1" si="51"/>
        <v>232977.69</v>
      </c>
      <c r="X26" s="196"/>
      <c r="AC26" s="169">
        <f t="shared" ref="AC26" ca="1" si="52">IF($B26,ROUND(AC25*$N24,2),ROUND(SUMIF(OFFSET($B26,1,0,$D26),TRUE,OFFSET(AC26,1,0,$D26))/SUMIF(OFFSET($B26,1,0,$D26),TRUE,OFFSET($K26,1,0,$D26))*$N24,2))</f>
        <v>0</v>
      </c>
    </row>
    <row r="27" spans="1:29" customFormat="1" ht="14.25" customHeight="1" x14ac:dyDescent="0.2">
      <c r="A27" s="82"/>
      <c r="B27" s="82"/>
      <c r="C27" s="82"/>
      <c r="D27" s="82"/>
      <c r="E27" s="82"/>
      <c r="F27" s="82"/>
      <c r="G27" s="82"/>
      <c r="H27" s="82"/>
      <c r="I27" s="82"/>
      <c r="J27" s="82"/>
      <c r="K27" s="82"/>
      <c r="L27" s="371" t="str">
        <f ca="1">INDEX(PO!K$12:K$134,MATCH($A29,PO!$V$12:$V$134,0))</f>
        <v>3.1.</v>
      </c>
      <c r="M27" s="373" t="str">
        <f ca="1">INDEX(PO!N$12:N$134,MATCH($A29,PO!$V$12:$V$134,0))</f>
        <v>PAVIMENTAÇÃO</v>
      </c>
      <c r="N27" s="375">
        <f t="shared" ref="N27" ca="1" si="53">IF(ROUND(K29,2)=0,K29,ROUND(K29,2))</f>
        <v>51581.4</v>
      </c>
      <c r="O27" s="220" t="s">
        <v>143</v>
      </c>
      <c r="P27" s="225">
        <f t="shared" ref="P27" ca="1" si="54">IF($B29,0,P28-IF(ISNUMBER(O28),O28,0))</f>
        <v>0</v>
      </c>
      <c r="Q27" s="226">
        <v>0.5</v>
      </c>
      <c r="R27" s="226">
        <v>0.5</v>
      </c>
      <c r="S27" s="226">
        <v>0</v>
      </c>
      <c r="T27" s="226">
        <v>0</v>
      </c>
      <c r="U27" s="226">
        <f t="shared" ref="U27" ca="1" si="55">IF($B29,0,U28-IF(ISNUMBER(T28),T28,0))</f>
        <v>0</v>
      </c>
      <c r="V27" s="226">
        <f t="shared" ref="V27" ca="1" si="56">IF($B29,0,V28-IF(ISNUMBER(U28),U28,0))</f>
        <v>0</v>
      </c>
      <c r="W27" s="227">
        <f t="shared" ref="W27" ca="1" si="57">IF($B29,0,W28-IF(ISNUMBER(V28),V28,0))</f>
        <v>0</v>
      </c>
      <c r="X27" s="196"/>
      <c r="AC27" s="221">
        <f t="shared" ref="AC27" ca="1" si="58">IF($B29,0,AC28-IF(ISNUMBER(AB28),AB28,0))</f>
        <v>0</v>
      </c>
    </row>
    <row r="28" spans="1:29" customFormat="1" ht="14.25" x14ac:dyDescent="0.2">
      <c r="A28" s="184"/>
      <c r="B28" s="184"/>
      <c r="C28" s="184"/>
      <c r="D28" s="184"/>
      <c r="E28" s="184"/>
      <c r="F28" s="184"/>
      <c r="G28" s="184"/>
      <c r="H28" s="184"/>
      <c r="I28" s="184"/>
      <c r="J28" s="184"/>
      <c r="K28" s="184"/>
      <c r="L28" s="372"/>
      <c r="M28" s="374"/>
      <c r="N28" s="376"/>
      <c r="O28" s="170" t="s">
        <v>145</v>
      </c>
      <c r="P28" s="198">
        <f t="shared" ref="P28" ca="1" si="59">MIN(IF($B29,P27+IF(ISNUMBER(O28),O28,0),P29/$N27),1)</f>
        <v>0</v>
      </c>
      <c r="Q28" s="168">
        <f t="shared" ref="Q28" ca="1" si="60">MIN(IF($B29,Q27+IF(ISNUMBER(P28),P28,0),Q29/$N27),1)</f>
        <v>0.5</v>
      </c>
      <c r="R28" s="168">
        <f t="shared" ref="R28" ca="1" si="61">MIN(IF($B29,R27+IF(ISNUMBER(Q28),Q28,0),R29/$N27),1)</f>
        <v>1</v>
      </c>
      <c r="S28" s="168">
        <f t="shared" ref="S28" ca="1" si="62">MIN(IF($B29,S27+IF(ISNUMBER(R28),R28,0),S29/$N27),1)</f>
        <v>1</v>
      </c>
      <c r="T28" s="168">
        <f t="shared" ref="T28" ca="1" si="63">MIN(IF($B29,T27+IF(ISNUMBER(S28),S28,0),T29/$N27),1)</f>
        <v>1</v>
      </c>
      <c r="U28" s="168">
        <f t="shared" ref="U28" ca="1" si="64">MIN(IF($B29,U27+IF(ISNUMBER(T28),T28,0),U29/$N27),1)</f>
        <v>1</v>
      </c>
      <c r="V28" s="168">
        <f t="shared" ref="V28" ca="1" si="65">MIN(IF($B29,V27+IF(ISNUMBER(U28),U28,0),V29/$N27),1)</f>
        <v>1</v>
      </c>
      <c r="W28" s="168">
        <f t="shared" ref="W28" ca="1" si="66">MIN(IF($B29,W27+IF(ISNUMBER(V28),V28,0),W29/$N27),1)</f>
        <v>1</v>
      </c>
      <c r="X28" s="196"/>
      <c r="AC28" s="168">
        <f t="shared" ref="AC28" ca="1" si="67">MIN(IF($B29,AC27+IF(ISNUMBER(AB28),AB28,0),AC29/$N27),1)</f>
        <v>0</v>
      </c>
    </row>
    <row r="29" spans="1:29" customFormat="1" ht="14.25" x14ac:dyDescent="0.2">
      <c r="A29" s="184">
        <f ca="1">OFFSET(A29,-CFF.NumLinha,0)+1</f>
        <v>4</v>
      </c>
      <c r="B29" s="184" t="b">
        <f ca="1">$C29&gt;=OFFSET($C29,CFF.NumLinha,0)</f>
        <v>1</v>
      </c>
      <c r="C29" s="184">
        <f ca="1">INDEX(PO!A$12:A$134,MATCH($A29,PO!$V$12:$V$134,0))</f>
        <v>2</v>
      </c>
      <c r="D29" s="184">
        <f t="shared" ref="D29" ca="1" si="68">IF(ISERROR(J29),I29,SMALL(I29:J29,1))-1</f>
        <v>2</v>
      </c>
      <c r="E29" s="184">
        <f ca="1">IF($C29=1,OFFSET(E29,-CFF.NumLinha,0)+1,OFFSET(E29,-CFF.NumLinha,0))</f>
        <v>3</v>
      </c>
      <c r="F29" s="184">
        <f ca="1">IF($C29=1,0,IF($C29=2,OFFSET(F29,-CFF.NumLinha,0)+1,OFFSET(F29,-CFF.NumLinha,0)))</f>
        <v>1</v>
      </c>
      <c r="G29" s="184">
        <f ca="1">IF(AND($C29&lt;=2,$C29&lt;&gt;0),0,IF($C29=3,OFFSET(G29,-CFF.NumLinha,0)+1,OFFSET(G29,-CFF.NumLinha,0)))</f>
        <v>0</v>
      </c>
      <c r="H29" s="184">
        <f ca="1">IF(AND($C29&lt;=3,$C29&lt;&gt;0),0,IF($C29=4,OFFSET(H29,-CFF.NumLinha,0)+1,OFFSET(H29,-CFF.NumLinha,0)))</f>
        <v>0</v>
      </c>
      <c r="I29" s="184">
        <f t="shared" ref="I29" ca="1" si="69">MATCH(0,OFFSET($D29,1,$C29,ROW($A$66)-ROW($A29)),0)</f>
        <v>15</v>
      </c>
      <c r="J29" s="184">
        <f t="shared" ref="J29" ca="1" si="70">MATCH(OFFSET($D29,0,$C29)+1,OFFSET($D29,1,$C29,ROW($A$66)-ROW($A29)),0)</f>
        <v>3</v>
      </c>
      <c r="K29" s="185">
        <f ca="1">ROUND(INDEX(PO!T$12:T$134,MATCH($A29,PO!$V$12:$V$134,0)),2)+10^-12</f>
        <v>51581.4</v>
      </c>
      <c r="L29" s="372"/>
      <c r="M29" s="374"/>
      <c r="N29" s="376"/>
      <c r="O29" s="204" t="s">
        <v>20</v>
      </c>
      <c r="P29" s="199">
        <f t="shared" ref="P29:W29" ca="1" si="71">IF($B29,ROUND(P28*$N27,2),ROUND(SUMIF(OFFSET($B29,1,0,$D29),TRUE,OFFSET(P29,1,0,$D29))/SUMIF(OFFSET($B29,1,0,$D29),TRUE,OFFSET($K29,1,0,$D29))*$N27,2))</f>
        <v>0</v>
      </c>
      <c r="Q29" s="169">
        <f t="shared" ca="1" si="71"/>
        <v>25790.7</v>
      </c>
      <c r="R29" s="169">
        <f t="shared" ca="1" si="71"/>
        <v>51581.4</v>
      </c>
      <c r="S29" s="169">
        <f t="shared" ca="1" si="71"/>
        <v>51581.4</v>
      </c>
      <c r="T29" s="169">
        <f t="shared" ca="1" si="71"/>
        <v>51581.4</v>
      </c>
      <c r="U29" s="169">
        <f t="shared" ca="1" si="71"/>
        <v>51581.4</v>
      </c>
      <c r="V29" s="169">
        <f t="shared" ca="1" si="71"/>
        <v>51581.4</v>
      </c>
      <c r="W29" s="207">
        <f t="shared" ca="1" si="71"/>
        <v>51581.4</v>
      </c>
      <c r="X29" s="196"/>
      <c r="AC29" s="169">
        <f t="shared" ref="AC29" ca="1" si="72">IF($B29,ROUND(AC28*$N27,2),ROUND(SUMIF(OFFSET($B29,1,0,$D29),TRUE,OFFSET(AC29,1,0,$D29))/SUMIF(OFFSET($B29,1,0,$D29),TRUE,OFFSET($K29,1,0,$D29))*$N27,2))</f>
        <v>0</v>
      </c>
    </row>
    <row r="30" spans="1:29" customFormat="1" ht="14.25" customHeight="1" x14ac:dyDescent="0.2">
      <c r="A30" s="82"/>
      <c r="B30" s="82"/>
      <c r="C30" s="82"/>
      <c r="D30" s="82"/>
      <c r="E30" s="82"/>
      <c r="F30" s="82"/>
      <c r="G30" s="82"/>
      <c r="H30" s="82"/>
      <c r="I30" s="82"/>
      <c r="J30" s="82"/>
      <c r="K30" s="82"/>
      <c r="L30" s="371" t="str">
        <f ca="1">INDEX(PO!K$12:K$134,MATCH($A32,PO!$V$12:$V$134,0))</f>
        <v>3.2.</v>
      </c>
      <c r="M30" s="373" t="str">
        <f ca="1">INDEX(PO!N$12:N$134,MATCH($A32,PO!$V$12:$V$134,0))</f>
        <v>REVESTIMENTOS INTERNOS</v>
      </c>
      <c r="N30" s="375">
        <f t="shared" ref="N30" ca="1" si="73">IF(ROUND(K32,2)=0,K32,ROUND(K32,2))</f>
        <v>32884.21</v>
      </c>
      <c r="O30" s="220" t="s">
        <v>143</v>
      </c>
      <c r="P30" s="225">
        <f t="shared" ref="P30" ca="1" si="74">IF($B32,0,P31-IF(ISNUMBER(O31),O31,0))</f>
        <v>0</v>
      </c>
      <c r="Q30" s="226">
        <f t="shared" ref="Q30" ca="1" si="75">IF($B32,0,Q31-IF(ISNUMBER(P31),P31,0))</f>
        <v>0</v>
      </c>
      <c r="R30" s="226">
        <v>0.5</v>
      </c>
      <c r="S30" s="226">
        <v>0.5</v>
      </c>
      <c r="T30" s="226">
        <v>0</v>
      </c>
      <c r="U30" s="226">
        <f t="shared" ref="U30" ca="1" si="76">IF($B32,0,U31-IF(ISNUMBER(T31),T31,0))</f>
        <v>0</v>
      </c>
      <c r="V30" s="226">
        <f t="shared" ref="V30" ca="1" si="77">IF($B32,0,V31-IF(ISNUMBER(U31),U31,0))</f>
        <v>0</v>
      </c>
      <c r="W30" s="227">
        <f t="shared" ref="W30" ca="1" si="78">IF($B32,0,W31-IF(ISNUMBER(V31),V31,0))</f>
        <v>0</v>
      </c>
      <c r="X30" s="196"/>
      <c r="AC30" s="221">
        <f t="shared" ref="AC30" ca="1" si="79">IF($B32,0,AC31-IF(ISNUMBER(AB31),AB31,0))</f>
        <v>0</v>
      </c>
    </row>
    <row r="31" spans="1:29" customFormat="1" ht="14.25" x14ac:dyDescent="0.2">
      <c r="A31" s="184"/>
      <c r="B31" s="184"/>
      <c r="C31" s="184"/>
      <c r="D31" s="184"/>
      <c r="E31" s="184"/>
      <c r="F31" s="184"/>
      <c r="G31" s="184"/>
      <c r="H31" s="184"/>
      <c r="I31" s="184"/>
      <c r="J31" s="184"/>
      <c r="K31" s="184"/>
      <c r="L31" s="372"/>
      <c r="M31" s="374"/>
      <c r="N31" s="376"/>
      <c r="O31" s="170" t="s">
        <v>145</v>
      </c>
      <c r="P31" s="198">
        <f t="shared" ref="P31" ca="1" si="80">MIN(IF($B32,P30+IF(ISNUMBER(O31),O31,0),P32/$N30),1)</f>
        <v>0</v>
      </c>
      <c r="Q31" s="168">
        <f t="shared" ref="Q31" ca="1" si="81">MIN(IF($B32,Q30+IF(ISNUMBER(P31),P31,0),Q32/$N30),1)</f>
        <v>0</v>
      </c>
      <c r="R31" s="168">
        <f t="shared" ref="R31" ca="1" si="82">MIN(IF($B32,R30+IF(ISNUMBER(Q31),Q31,0),R32/$N30),1)</f>
        <v>0.5</v>
      </c>
      <c r="S31" s="168">
        <f t="shared" ref="S31" ca="1" si="83">MIN(IF($B32,S30+IF(ISNUMBER(R31),R31,0),S32/$N30),1)</f>
        <v>1</v>
      </c>
      <c r="T31" s="168">
        <f t="shared" ref="T31" ca="1" si="84">MIN(IF($B32,T30+IF(ISNUMBER(S31),S31,0),T32/$N30),1)</f>
        <v>1</v>
      </c>
      <c r="U31" s="168">
        <f t="shared" ref="U31" ca="1" si="85">MIN(IF($B32,U30+IF(ISNUMBER(T31),T31,0),U32/$N30),1)</f>
        <v>1</v>
      </c>
      <c r="V31" s="168">
        <f t="shared" ref="V31" ca="1" si="86">MIN(IF($B32,V30+IF(ISNUMBER(U31),U31,0),V32/$N30),1)</f>
        <v>1</v>
      </c>
      <c r="W31" s="168">
        <f t="shared" ref="W31" ca="1" si="87">MIN(IF($B32,W30+IF(ISNUMBER(V31),V31,0),W32/$N30),1)</f>
        <v>1</v>
      </c>
      <c r="X31" s="196"/>
      <c r="AC31" s="168">
        <f t="shared" ref="AC31" ca="1" si="88">MIN(IF($B32,AC30+IF(ISNUMBER(AB31),AB31,0),AC32/$N30),1)</f>
        <v>0</v>
      </c>
    </row>
    <row r="32" spans="1:29" customFormat="1" ht="14.25" x14ac:dyDescent="0.2">
      <c r="A32" s="184">
        <f ca="1">OFFSET(A32,-CFF.NumLinha,0)+1</f>
        <v>5</v>
      </c>
      <c r="B32" s="184" t="b">
        <f ca="1">$C32&gt;=OFFSET($C32,CFF.NumLinha,0)</f>
        <v>1</v>
      </c>
      <c r="C32" s="184">
        <f ca="1">INDEX(PO!A$12:A$134,MATCH($A32,PO!$V$12:$V$134,0))</f>
        <v>2</v>
      </c>
      <c r="D32" s="184">
        <f t="shared" ref="D32" ca="1" si="89">IF(ISERROR(J32),I32,SMALL(I32:J32,1))-1</f>
        <v>2</v>
      </c>
      <c r="E32" s="184">
        <f ca="1">IF($C32=1,OFFSET(E32,-CFF.NumLinha,0)+1,OFFSET(E32,-CFF.NumLinha,0))</f>
        <v>3</v>
      </c>
      <c r="F32" s="184">
        <f ca="1">IF($C32=1,0,IF($C32=2,OFFSET(F32,-CFF.NumLinha,0)+1,OFFSET(F32,-CFF.NumLinha,0)))</f>
        <v>2</v>
      </c>
      <c r="G32" s="184">
        <f ca="1">IF(AND($C32&lt;=2,$C32&lt;&gt;0),0,IF($C32=3,OFFSET(G32,-CFF.NumLinha,0)+1,OFFSET(G32,-CFF.NumLinha,0)))</f>
        <v>0</v>
      </c>
      <c r="H32" s="184">
        <f ca="1">IF(AND($C32&lt;=3,$C32&lt;&gt;0),0,IF($C32=4,OFFSET(H32,-CFF.NumLinha,0)+1,OFFSET(H32,-CFF.NumLinha,0)))</f>
        <v>0</v>
      </c>
      <c r="I32" s="184">
        <f t="shared" ref="I32" ca="1" si="90">MATCH(0,OFFSET($D32,1,$C32,ROW($A$66)-ROW($A32)),0)</f>
        <v>12</v>
      </c>
      <c r="J32" s="184">
        <f t="shared" ref="J32" ca="1" si="91">MATCH(OFFSET($D32,0,$C32)+1,OFFSET($D32,1,$C32,ROW($A$66)-ROW($A32)),0)</f>
        <v>3</v>
      </c>
      <c r="K32" s="185">
        <f ca="1">ROUND(INDEX(PO!T$12:T$134,MATCH($A32,PO!$V$12:$V$134,0)),2)+10^-12</f>
        <v>32884.21</v>
      </c>
      <c r="L32" s="372"/>
      <c r="M32" s="374"/>
      <c r="N32" s="376"/>
      <c r="O32" s="204" t="s">
        <v>20</v>
      </c>
      <c r="P32" s="199">
        <f t="shared" ref="P32:W32" ca="1" si="92">IF($B32,ROUND(P31*$N30,2),ROUND(SUMIF(OFFSET($B32,1,0,$D32),TRUE,OFFSET(P32,1,0,$D32))/SUMIF(OFFSET($B32,1,0,$D32),TRUE,OFFSET($K32,1,0,$D32))*$N30,2))</f>
        <v>0</v>
      </c>
      <c r="Q32" s="169">
        <f t="shared" ca="1" si="92"/>
        <v>0</v>
      </c>
      <c r="R32" s="169">
        <f t="shared" ca="1" si="92"/>
        <v>16442.11</v>
      </c>
      <c r="S32" s="169">
        <f t="shared" ca="1" si="92"/>
        <v>32884.21</v>
      </c>
      <c r="T32" s="169">
        <f t="shared" ca="1" si="92"/>
        <v>32884.21</v>
      </c>
      <c r="U32" s="169">
        <f t="shared" ca="1" si="92"/>
        <v>32884.21</v>
      </c>
      <c r="V32" s="169">
        <f t="shared" ca="1" si="92"/>
        <v>32884.21</v>
      </c>
      <c r="W32" s="207">
        <f t="shared" ca="1" si="92"/>
        <v>32884.21</v>
      </c>
      <c r="X32" s="196"/>
      <c r="AC32" s="169">
        <f t="shared" ref="AC32" ca="1" si="93">IF($B32,ROUND(AC31*$N30,2),ROUND(SUMIF(OFFSET($B32,1,0,$D32),TRUE,OFFSET(AC32,1,0,$D32))/SUMIF(OFFSET($B32,1,0,$D32),TRUE,OFFSET($K32,1,0,$D32))*$N30,2))</f>
        <v>0</v>
      </c>
    </row>
    <row r="33" spans="1:29" customFormat="1" ht="14.25" customHeight="1" x14ac:dyDescent="0.2">
      <c r="A33" s="82"/>
      <c r="B33" s="82"/>
      <c r="C33" s="82"/>
      <c r="D33" s="82"/>
      <c r="E33" s="82"/>
      <c r="F33" s="82"/>
      <c r="G33" s="82"/>
      <c r="H33" s="82"/>
      <c r="I33" s="82"/>
      <c r="J33" s="82"/>
      <c r="K33" s="82"/>
      <c r="L33" s="371" t="str">
        <f ca="1">INDEX(PO!K$12:K$134,MATCH($A35,PO!$V$12:$V$134,0))</f>
        <v>3.3.</v>
      </c>
      <c r="M33" s="373" t="str">
        <f ca="1">INDEX(PO!N$12:N$134,MATCH($A35,PO!$V$12:$V$134,0))</f>
        <v>DIVISÓRIAS E ESQUADRIAS</v>
      </c>
      <c r="N33" s="375">
        <f t="shared" ref="N33" ca="1" si="94">IF(ROUND(K35,2)=0,K35,ROUND(K35,2))</f>
        <v>90450.05</v>
      </c>
      <c r="O33" s="220" t="s">
        <v>143</v>
      </c>
      <c r="P33" s="225">
        <f t="shared" ref="P33" ca="1" si="95">IF($B35,0,P34-IF(ISNUMBER(O34),O34,0))</f>
        <v>0</v>
      </c>
      <c r="Q33" s="226">
        <v>0</v>
      </c>
      <c r="R33" s="226">
        <v>0</v>
      </c>
      <c r="S33" s="226">
        <v>0.5</v>
      </c>
      <c r="T33" s="226">
        <v>0.5</v>
      </c>
      <c r="U33" s="226">
        <f t="shared" ref="U33" ca="1" si="96">IF($B35,0,U34-IF(ISNUMBER(T34),T34,0))</f>
        <v>0</v>
      </c>
      <c r="V33" s="226">
        <f t="shared" ref="V33" ca="1" si="97">IF($B35,0,V34-IF(ISNUMBER(U34),U34,0))</f>
        <v>0</v>
      </c>
      <c r="W33" s="227">
        <f t="shared" ref="W33" ca="1" si="98">IF($B35,0,W34-IF(ISNUMBER(V34),V34,0))</f>
        <v>0</v>
      </c>
      <c r="X33" s="196"/>
      <c r="AC33" s="221">
        <f t="shared" ref="AC33" ca="1" si="99">IF($B35,0,AC34-IF(ISNUMBER(AB34),AB34,0))</f>
        <v>0</v>
      </c>
    </row>
    <row r="34" spans="1:29" customFormat="1" ht="14.25" x14ac:dyDescent="0.2">
      <c r="A34" s="184"/>
      <c r="B34" s="184"/>
      <c r="C34" s="184"/>
      <c r="D34" s="184"/>
      <c r="E34" s="184"/>
      <c r="F34" s="184"/>
      <c r="G34" s="184"/>
      <c r="H34" s="184"/>
      <c r="I34" s="184"/>
      <c r="J34" s="184"/>
      <c r="K34" s="184"/>
      <c r="L34" s="372"/>
      <c r="M34" s="374"/>
      <c r="N34" s="376"/>
      <c r="O34" s="170" t="s">
        <v>145</v>
      </c>
      <c r="P34" s="198">
        <f t="shared" ref="P34" ca="1" si="100">MIN(IF($B35,P33+IF(ISNUMBER(O34),O34,0),P35/$N33),1)</f>
        <v>0</v>
      </c>
      <c r="Q34" s="168">
        <f t="shared" ref="Q34" ca="1" si="101">MIN(IF($B35,Q33+IF(ISNUMBER(P34),P34,0),Q35/$N33),1)</f>
        <v>0</v>
      </c>
      <c r="R34" s="168">
        <f t="shared" ref="R34" ca="1" si="102">MIN(IF($B35,R33+IF(ISNUMBER(Q34),Q34,0),R35/$N33),1)</f>
        <v>0</v>
      </c>
      <c r="S34" s="168">
        <f t="shared" ref="S34" ca="1" si="103">MIN(IF($B35,S33+IF(ISNUMBER(R34),R34,0),S35/$N33),1)</f>
        <v>0.5</v>
      </c>
      <c r="T34" s="168">
        <f t="shared" ref="T34" ca="1" si="104">MIN(IF($B35,T33+IF(ISNUMBER(S34),S34,0),T35/$N33),1)</f>
        <v>1</v>
      </c>
      <c r="U34" s="168">
        <f t="shared" ref="U34" ca="1" si="105">MIN(IF($B35,U33+IF(ISNUMBER(T34),T34,0),U35/$N33),1)</f>
        <v>1</v>
      </c>
      <c r="V34" s="168">
        <f t="shared" ref="V34" ca="1" si="106">MIN(IF($B35,V33+IF(ISNUMBER(U34),U34,0),V35/$N33),1)</f>
        <v>1</v>
      </c>
      <c r="W34" s="168">
        <f t="shared" ref="W34" ca="1" si="107">MIN(IF($B35,W33+IF(ISNUMBER(V34),V34,0),W35/$N33),1)</f>
        <v>1</v>
      </c>
      <c r="X34" s="196"/>
      <c r="AC34" s="168">
        <f t="shared" ref="AC34" ca="1" si="108">MIN(IF($B35,AC33+IF(ISNUMBER(AB34),AB34,0),AC35/$N33),1)</f>
        <v>0</v>
      </c>
    </row>
    <row r="35" spans="1:29" customFormat="1" ht="14.25" x14ac:dyDescent="0.2">
      <c r="A35" s="184">
        <f ca="1">OFFSET(A35,-CFF.NumLinha,0)+1</f>
        <v>6</v>
      </c>
      <c r="B35" s="184" t="b">
        <f ca="1">$C35&gt;=OFFSET($C35,CFF.NumLinha,0)</f>
        <v>1</v>
      </c>
      <c r="C35" s="184">
        <f ca="1">INDEX(PO!A$12:A$134,MATCH($A35,PO!$V$12:$V$134,0))</f>
        <v>2</v>
      </c>
      <c r="D35" s="184">
        <f t="shared" ref="D35" ca="1" si="109">IF(ISERROR(J35),I35,SMALL(I35:J35,1))-1</f>
        <v>2</v>
      </c>
      <c r="E35" s="184">
        <f ca="1">IF($C35=1,OFFSET(E35,-CFF.NumLinha,0)+1,OFFSET(E35,-CFF.NumLinha,0))</f>
        <v>3</v>
      </c>
      <c r="F35" s="184">
        <f ca="1">IF($C35=1,0,IF($C35=2,OFFSET(F35,-CFF.NumLinha,0)+1,OFFSET(F35,-CFF.NumLinha,0)))</f>
        <v>3</v>
      </c>
      <c r="G35" s="184">
        <f ca="1">IF(AND($C35&lt;=2,$C35&lt;&gt;0),0,IF($C35=3,OFFSET(G35,-CFF.NumLinha,0)+1,OFFSET(G35,-CFF.NumLinha,0)))</f>
        <v>0</v>
      </c>
      <c r="H35" s="184">
        <f ca="1">IF(AND($C35&lt;=3,$C35&lt;&gt;0),0,IF($C35=4,OFFSET(H35,-CFF.NumLinha,0)+1,OFFSET(H35,-CFF.NumLinha,0)))</f>
        <v>0</v>
      </c>
      <c r="I35" s="184">
        <f t="shared" ref="I35" ca="1" si="110">MATCH(0,OFFSET($D35,1,$C35,ROW($A$66)-ROW($A35)),0)</f>
        <v>9</v>
      </c>
      <c r="J35" s="184">
        <f t="shared" ref="J35" ca="1" si="111">MATCH(OFFSET($D35,0,$C35)+1,OFFSET($D35,1,$C35,ROW($A$66)-ROW($A35)),0)</f>
        <v>3</v>
      </c>
      <c r="K35" s="185">
        <f ca="1">ROUND(INDEX(PO!T$12:T$134,MATCH($A35,PO!$V$12:$V$134,0)),2)+10^-12</f>
        <v>90450.05</v>
      </c>
      <c r="L35" s="372"/>
      <c r="M35" s="374"/>
      <c r="N35" s="376"/>
      <c r="O35" s="204" t="s">
        <v>20</v>
      </c>
      <c r="P35" s="199">
        <f t="shared" ref="P35:W35" ca="1" si="112">IF($B35,ROUND(P34*$N33,2),ROUND(SUMIF(OFFSET($B35,1,0,$D35),TRUE,OFFSET(P35,1,0,$D35))/SUMIF(OFFSET($B35,1,0,$D35),TRUE,OFFSET($K35,1,0,$D35))*$N33,2))</f>
        <v>0</v>
      </c>
      <c r="Q35" s="169">
        <f t="shared" ca="1" si="112"/>
        <v>0</v>
      </c>
      <c r="R35" s="169">
        <f t="shared" ca="1" si="112"/>
        <v>0</v>
      </c>
      <c r="S35" s="169">
        <f t="shared" ca="1" si="112"/>
        <v>45225.03</v>
      </c>
      <c r="T35" s="169">
        <f t="shared" ca="1" si="112"/>
        <v>90450.05</v>
      </c>
      <c r="U35" s="169">
        <f t="shared" ca="1" si="112"/>
        <v>90450.05</v>
      </c>
      <c r="V35" s="169">
        <f t="shared" ca="1" si="112"/>
        <v>90450.05</v>
      </c>
      <c r="W35" s="207">
        <f t="shared" ca="1" si="112"/>
        <v>90450.05</v>
      </c>
      <c r="X35" s="196"/>
      <c r="AC35" s="169">
        <f t="shared" ref="AC35" ca="1" si="113">IF($B35,ROUND(AC34*$N33,2),ROUND(SUMIF(OFFSET($B35,1,0,$D35),TRUE,OFFSET(AC35,1,0,$D35))/SUMIF(OFFSET($B35,1,0,$D35),TRUE,OFFSET($K35,1,0,$D35))*$N33,2))</f>
        <v>0</v>
      </c>
    </row>
    <row r="36" spans="1:29" customFormat="1" ht="14.25" customHeight="1" x14ac:dyDescent="0.2">
      <c r="A36" s="82"/>
      <c r="B36" s="82"/>
      <c r="C36" s="82"/>
      <c r="D36" s="82"/>
      <c r="E36" s="82"/>
      <c r="F36" s="82"/>
      <c r="G36" s="82"/>
      <c r="H36" s="82"/>
      <c r="I36" s="82"/>
      <c r="J36" s="82"/>
      <c r="K36" s="82"/>
      <c r="L36" s="371" t="str">
        <f ca="1">INDEX(PO!K$12:K$134,MATCH($A38,PO!$V$12:$V$134,0))</f>
        <v>3.4.</v>
      </c>
      <c r="M36" s="373" t="str">
        <f ca="1">INDEX(PO!N$12:N$134,MATCH($A38,PO!$V$12:$V$134,0))</f>
        <v>EQUIPAMENTO SANITÁRIO</v>
      </c>
      <c r="N36" s="375">
        <f t="shared" ref="N36" ca="1" si="114">IF(ROUND(K38,2)=0,K38,ROUND(K38,2))</f>
        <v>10251.94</v>
      </c>
      <c r="O36" s="220" t="s">
        <v>143</v>
      </c>
      <c r="P36" s="225">
        <f t="shared" ref="P36" ca="1" si="115">IF($B38,0,P37-IF(ISNUMBER(O37),O37,0))</f>
        <v>0</v>
      </c>
      <c r="Q36" s="226">
        <f t="shared" ref="Q36" ca="1" si="116">IF($B38,0,Q37-IF(ISNUMBER(P37),P37,0))</f>
        <v>0</v>
      </c>
      <c r="R36" s="226">
        <f t="shared" ref="R36" ca="1" si="117">IF($B38,0,R37-IF(ISNUMBER(Q37),Q37,0))</f>
        <v>0</v>
      </c>
      <c r="S36" s="226">
        <v>1</v>
      </c>
      <c r="T36" s="226">
        <v>0</v>
      </c>
      <c r="U36" s="226">
        <f t="shared" ref="U36" ca="1" si="118">IF($B38,0,U37-IF(ISNUMBER(T37),T37,0))</f>
        <v>0</v>
      </c>
      <c r="V36" s="226">
        <f t="shared" ref="V36" ca="1" si="119">IF($B38,0,V37-IF(ISNUMBER(U37),U37,0))</f>
        <v>0</v>
      </c>
      <c r="W36" s="227">
        <f t="shared" ref="W36" ca="1" si="120">IF($B38,0,W37-IF(ISNUMBER(V37),V37,0))</f>
        <v>0</v>
      </c>
      <c r="X36" s="196"/>
      <c r="AC36" s="221">
        <f t="shared" ref="AC36" ca="1" si="121">IF($B38,0,AC37-IF(ISNUMBER(AB37),AB37,0))</f>
        <v>0</v>
      </c>
    </row>
    <row r="37" spans="1:29" customFormat="1" ht="14.25" x14ac:dyDescent="0.2">
      <c r="A37" s="184"/>
      <c r="B37" s="184"/>
      <c r="C37" s="184"/>
      <c r="D37" s="184"/>
      <c r="E37" s="184"/>
      <c r="F37" s="184"/>
      <c r="G37" s="184"/>
      <c r="H37" s="184"/>
      <c r="I37" s="184"/>
      <c r="J37" s="184"/>
      <c r="K37" s="184"/>
      <c r="L37" s="372"/>
      <c r="M37" s="374"/>
      <c r="N37" s="376"/>
      <c r="O37" s="170" t="s">
        <v>145</v>
      </c>
      <c r="P37" s="198">
        <f t="shared" ref="P37" ca="1" si="122">MIN(IF($B38,P36+IF(ISNUMBER(O37),O37,0),P38/$N36),1)</f>
        <v>0</v>
      </c>
      <c r="Q37" s="168">
        <f t="shared" ref="Q37" ca="1" si="123">MIN(IF($B38,Q36+IF(ISNUMBER(P37),P37,0),Q38/$N36),1)</f>
        <v>0</v>
      </c>
      <c r="R37" s="168">
        <f t="shared" ref="R37" ca="1" si="124">MIN(IF($B38,R36+IF(ISNUMBER(Q37),Q37,0),R38/$N36),1)</f>
        <v>0</v>
      </c>
      <c r="S37" s="168">
        <f t="shared" ref="S37" ca="1" si="125">MIN(IF($B38,S36+IF(ISNUMBER(R37),R37,0),S38/$N36),1)</f>
        <v>1</v>
      </c>
      <c r="T37" s="168">
        <f t="shared" ref="T37" ca="1" si="126">MIN(IF($B38,T36+IF(ISNUMBER(S37),S37,0),T38/$N36),1)</f>
        <v>1</v>
      </c>
      <c r="U37" s="168">
        <f t="shared" ref="U37" ca="1" si="127">MIN(IF($B38,U36+IF(ISNUMBER(T37),T37,0),U38/$N36),1)</f>
        <v>1</v>
      </c>
      <c r="V37" s="168">
        <f t="shared" ref="V37" ca="1" si="128">MIN(IF($B38,V36+IF(ISNUMBER(U37),U37,0),V38/$N36),1)</f>
        <v>1</v>
      </c>
      <c r="W37" s="168">
        <f t="shared" ref="W37" ca="1" si="129">MIN(IF($B38,W36+IF(ISNUMBER(V37),V37,0),W38/$N36),1)</f>
        <v>1</v>
      </c>
      <c r="X37" s="196"/>
      <c r="AC37" s="168">
        <f t="shared" ref="AC37" ca="1" si="130">MIN(IF($B38,AC36+IF(ISNUMBER(AB37),AB37,0),AC38/$N36),1)</f>
        <v>0</v>
      </c>
    </row>
    <row r="38" spans="1:29" customFormat="1" ht="14.25" x14ac:dyDescent="0.2">
      <c r="A38" s="184">
        <f ca="1">OFFSET(A38,-CFF.NumLinha,0)+1</f>
        <v>7</v>
      </c>
      <c r="B38" s="184" t="b">
        <f ca="1">$C38&gt;=OFFSET($C38,CFF.NumLinha,0)</f>
        <v>1</v>
      </c>
      <c r="C38" s="184">
        <f ca="1">INDEX(PO!A$12:A$134,MATCH($A38,PO!$V$12:$V$134,0))</f>
        <v>2</v>
      </c>
      <c r="D38" s="184">
        <f t="shared" ref="D38" ca="1" si="131">IF(ISERROR(J38),I38,SMALL(I38:J38,1))-1</f>
        <v>2</v>
      </c>
      <c r="E38" s="184">
        <f ca="1">IF($C38=1,OFFSET(E38,-CFF.NumLinha,0)+1,OFFSET(E38,-CFF.NumLinha,0))</f>
        <v>3</v>
      </c>
      <c r="F38" s="184">
        <f ca="1">IF($C38=1,0,IF($C38=2,OFFSET(F38,-CFF.NumLinha,0)+1,OFFSET(F38,-CFF.NumLinha,0)))</f>
        <v>4</v>
      </c>
      <c r="G38" s="184">
        <f ca="1">IF(AND($C38&lt;=2,$C38&lt;&gt;0),0,IF($C38=3,OFFSET(G38,-CFF.NumLinha,0)+1,OFFSET(G38,-CFF.NumLinha,0)))</f>
        <v>0</v>
      </c>
      <c r="H38" s="184">
        <f ca="1">IF(AND($C38&lt;=3,$C38&lt;&gt;0),0,IF($C38=4,OFFSET(H38,-CFF.NumLinha,0)+1,OFFSET(H38,-CFF.NumLinha,0)))</f>
        <v>0</v>
      </c>
      <c r="I38" s="184">
        <f t="shared" ref="I38" ca="1" si="132">MATCH(0,OFFSET($D38,1,$C38,ROW($A$66)-ROW($A38)),0)</f>
        <v>6</v>
      </c>
      <c r="J38" s="184">
        <f t="shared" ref="J38" ca="1" si="133">MATCH(OFFSET($D38,0,$C38)+1,OFFSET($D38,1,$C38,ROW($A$66)-ROW($A38)),0)</f>
        <v>3</v>
      </c>
      <c r="K38" s="185">
        <f ca="1">ROUND(INDEX(PO!T$12:T$134,MATCH($A38,PO!$V$12:$V$134,0)),2)+10^-12</f>
        <v>10251.940000000002</v>
      </c>
      <c r="L38" s="372"/>
      <c r="M38" s="374"/>
      <c r="N38" s="376"/>
      <c r="O38" s="204" t="s">
        <v>20</v>
      </c>
      <c r="P38" s="199">
        <f t="shared" ref="P38:W38" ca="1" si="134">IF($B38,ROUND(P37*$N36,2),ROUND(SUMIF(OFFSET($B38,1,0,$D38),TRUE,OFFSET(P38,1,0,$D38))/SUMIF(OFFSET($B38,1,0,$D38),TRUE,OFFSET($K38,1,0,$D38))*$N36,2))</f>
        <v>0</v>
      </c>
      <c r="Q38" s="169">
        <f t="shared" ca="1" si="134"/>
        <v>0</v>
      </c>
      <c r="R38" s="169">
        <f t="shared" ca="1" si="134"/>
        <v>0</v>
      </c>
      <c r="S38" s="169">
        <f t="shared" ca="1" si="134"/>
        <v>10251.94</v>
      </c>
      <c r="T38" s="169">
        <f t="shared" ca="1" si="134"/>
        <v>10251.94</v>
      </c>
      <c r="U38" s="169">
        <f t="shared" ca="1" si="134"/>
        <v>10251.94</v>
      </c>
      <c r="V38" s="169">
        <f t="shared" ca="1" si="134"/>
        <v>10251.94</v>
      </c>
      <c r="W38" s="207">
        <f t="shared" ca="1" si="134"/>
        <v>10251.94</v>
      </c>
      <c r="X38" s="196"/>
      <c r="AC38" s="169">
        <f t="shared" ref="AC38" ca="1" si="135">IF($B38,ROUND(AC37*$N36,2),ROUND(SUMIF(OFFSET($B38,1,0,$D38),TRUE,OFFSET(AC38,1,0,$D38))/SUMIF(OFFSET($B38,1,0,$D38),TRUE,OFFSET($K38,1,0,$D38))*$N36,2))</f>
        <v>0</v>
      </c>
    </row>
    <row r="39" spans="1:29" customFormat="1" ht="14.25" customHeight="1" x14ac:dyDescent="0.2">
      <c r="A39" s="82"/>
      <c r="B39" s="82"/>
      <c r="C39" s="82"/>
      <c r="D39" s="82"/>
      <c r="E39" s="82"/>
      <c r="F39" s="82"/>
      <c r="G39" s="82"/>
      <c r="H39" s="82"/>
      <c r="I39" s="82"/>
      <c r="J39" s="82"/>
      <c r="K39" s="82"/>
      <c r="L39" s="371" t="str">
        <f ca="1">INDEX(PO!K$12:K$134,MATCH($A41,PO!$V$12:$V$134,0))</f>
        <v>3.5.</v>
      </c>
      <c r="M39" s="373" t="str">
        <f ca="1">INDEX(PO!N$12:N$134,MATCH($A41,PO!$V$12:$V$134,0))</f>
        <v>INSTALAÇÕES DE ÁGUA FRIA E ESGOTO SANITÁRIO</v>
      </c>
      <c r="N39" s="375">
        <f t="shared" ref="N39" ca="1" si="136">IF(ROUND(K41,2)=0,K41,ROUND(K41,2))</f>
        <v>47810.09</v>
      </c>
      <c r="O39" s="220" t="s">
        <v>143</v>
      </c>
      <c r="P39" s="225">
        <f t="shared" ref="P39" ca="1" si="137">IF($B41,0,P40-IF(ISNUMBER(O40),O40,0))</f>
        <v>0</v>
      </c>
      <c r="Q39" s="226">
        <f t="shared" ref="Q39" ca="1" si="138">IF($B41,0,Q40-IF(ISNUMBER(P40),P40,0))</f>
        <v>0</v>
      </c>
      <c r="R39" s="226">
        <v>1</v>
      </c>
      <c r="S39" s="226">
        <f t="shared" ref="S39" ca="1" si="139">IF($B41,0,S40-IF(ISNUMBER(R40),R40,0))</f>
        <v>0</v>
      </c>
      <c r="T39" s="226">
        <f t="shared" ref="T39" ca="1" si="140">IF($B41,0,T40-IF(ISNUMBER(S40),S40,0))</f>
        <v>0</v>
      </c>
      <c r="U39" s="226">
        <f t="shared" ref="U39" ca="1" si="141">IF($B41,0,U40-IF(ISNUMBER(T40),T40,0))</f>
        <v>0</v>
      </c>
      <c r="V39" s="226">
        <f t="shared" ref="V39" ca="1" si="142">IF($B41,0,V40-IF(ISNUMBER(U40),U40,0))</f>
        <v>0</v>
      </c>
      <c r="W39" s="227">
        <f t="shared" ref="W39" ca="1" si="143">IF($B41,0,W40-IF(ISNUMBER(V40),V40,0))</f>
        <v>0</v>
      </c>
      <c r="X39" s="196"/>
      <c r="AC39" s="221">
        <f t="shared" ref="AC39" ca="1" si="144">IF($B41,0,AC40-IF(ISNUMBER(AB40),AB40,0))</f>
        <v>0</v>
      </c>
    </row>
    <row r="40" spans="1:29" customFormat="1" ht="14.25" x14ac:dyDescent="0.2">
      <c r="A40" s="184"/>
      <c r="B40" s="184"/>
      <c r="C40" s="184"/>
      <c r="D40" s="184"/>
      <c r="E40" s="184"/>
      <c r="F40" s="184"/>
      <c r="G40" s="184"/>
      <c r="H40" s="184"/>
      <c r="I40" s="184"/>
      <c r="J40" s="184"/>
      <c r="K40" s="184"/>
      <c r="L40" s="372"/>
      <c r="M40" s="374"/>
      <c r="N40" s="376"/>
      <c r="O40" s="170" t="s">
        <v>145</v>
      </c>
      <c r="P40" s="198">
        <f t="shared" ref="P40" ca="1" si="145">MIN(IF($B41,P39+IF(ISNUMBER(O40),O40,0),P41/$N39),1)</f>
        <v>0</v>
      </c>
      <c r="Q40" s="168">
        <f t="shared" ref="Q40" ca="1" si="146">MIN(IF($B41,Q39+IF(ISNUMBER(P40),P40,0),Q41/$N39),1)</f>
        <v>0</v>
      </c>
      <c r="R40" s="168">
        <f t="shared" ref="R40" ca="1" si="147">MIN(IF($B41,R39+IF(ISNUMBER(Q40),Q40,0),R41/$N39),1)</f>
        <v>1</v>
      </c>
      <c r="S40" s="168">
        <f t="shared" ref="S40" ca="1" si="148">MIN(IF($B41,S39+IF(ISNUMBER(R40),R40,0),S41/$N39),1)</f>
        <v>1</v>
      </c>
      <c r="T40" s="168">
        <f t="shared" ref="T40" ca="1" si="149">MIN(IF($B41,T39+IF(ISNUMBER(S40),S40,0),T41/$N39),1)</f>
        <v>1</v>
      </c>
      <c r="U40" s="168">
        <f t="shared" ref="U40" ca="1" si="150">MIN(IF($B41,U39+IF(ISNUMBER(T40),T40,0),U41/$N39),1)</f>
        <v>1</v>
      </c>
      <c r="V40" s="168">
        <f t="shared" ref="V40" ca="1" si="151">MIN(IF($B41,V39+IF(ISNUMBER(U40),U40,0),V41/$N39),1)</f>
        <v>1</v>
      </c>
      <c r="W40" s="168">
        <f t="shared" ref="W40" ca="1" si="152">MIN(IF($B41,W39+IF(ISNUMBER(V40),V40,0),W41/$N39),1)</f>
        <v>1</v>
      </c>
      <c r="X40" s="196"/>
      <c r="AC40" s="168">
        <f t="shared" ref="AC40" ca="1" si="153">MIN(IF($B41,AC39+IF(ISNUMBER(AB40),AB40,0),AC41/$N39),1)</f>
        <v>0</v>
      </c>
    </row>
    <row r="41" spans="1:29" customFormat="1" ht="14.25" x14ac:dyDescent="0.2">
      <c r="A41" s="184">
        <f ca="1">OFFSET(A41,-CFF.NumLinha,0)+1</f>
        <v>8</v>
      </c>
      <c r="B41" s="184" t="b">
        <f ca="1">$C41&gt;=OFFSET($C41,CFF.NumLinha,0)</f>
        <v>1</v>
      </c>
      <c r="C41" s="184">
        <f ca="1">INDEX(PO!A$12:A$134,MATCH($A41,PO!$V$12:$V$134,0))</f>
        <v>2</v>
      </c>
      <c r="D41" s="184">
        <f t="shared" ref="D41" ca="1" si="154">IF(ISERROR(J41),I41,SMALL(I41:J41,1))-1</f>
        <v>2</v>
      </c>
      <c r="E41" s="184">
        <f ca="1">IF($C41=1,OFFSET(E41,-CFF.NumLinha,0)+1,OFFSET(E41,-CFF.NumLinha,0))</f>
        <v>3</v>
      </c>
      <c r="F41" s="184">
        <f ca="1">IF($C41=1,0,IF($C41=2,OFFSET(F41,-CFF.NumLinha,0)+1,OFFSET(F41,-CFF.NumLinha,0)))</f>
        <v>5</v>
      </c>
      <c r="G41" s="184">
        <f ca="1">IF(AND($C41&lt;=2,$C41&lt;&gt;0),0,IF($C41=3,OFFSET(G41,-CFF.NumLinha,0)+1,OFFSET(G41,-CFF.NumLinha,0)))</f>
        <v>0</v>
      </c>
      <c r="H41" s="184">
        <f ca="1">IF(AND($C41&lt;=3,$C41&lt;&gt;0),0,IF($C41=4,OFFSET(H41,-CFF.NumLinha,0)+1,OFFSET(H41,-CFF.NumLinha,0)))</f>
        <v>0</v>
      </c>
      <c r="I41" s="184">
        <f t="shared" ref="I41" ca="1" si="155">MATCH(0,OFFSET($D41,1,$C41,ROW($A$66)-ROW($A41)),0)</f>
        <v>3</v>
      </c>
      <c r="J41" s="184" t="e">
        <f t="shared" ref="J41" ca="1" si="156">MATCH(OFFSET($D41,0,$C41)+1,OFFSET($D41,1,$C41,ROW($A$66)-ROW($A41)),0)</f>
        <v>#N/A</v>
      </c>
      <c r="K41" s="185">
        <f ca="1">ROUND(INDEX(PO!T$12:T$134,MATCH($A41,PO!$V$12:$V$134,0)),2)+10^-12</f>
        <v>47810.09</v>
      </c>
      <c r="L41" s="372"/>
      <c r="M41" s="374"/>
      <c r="N41" s="376"/>
      <c r="O41" s="204" t="s">
        <v>20</v>
      </c>
      <c r="P41" s="199">
        <f t="shared" ref="P41:W41" ca="1" si="157">IF($B41,ROUND(P40*$N39,2),ROUND(SUMIF(OFFSET($B41,1,0,$D41),TRUE,OFFSET(P41,1,0,$D41))/SUMIF(OFFSET($B41,1,0,$D41),TRUE,OFFSET($K41,1,0,$D41))*$N39,2))</f>
        <v>0</v>
      </c>
      <c r="Q41" s="169">
        <f t="shared" ca="1" si="157"/>
        <v>0</v>
      </c>
      <c r="R41" s="169">
        <f t="shared" ca="1" si="157"/>
        <v>47810.09</v>
      </c>
      <c r="S41" s="169">
        <f t="shared" ca="1" si="157"/>
        <v>47810.09</v>
      </c>
      <c r="T41" s="169">
        <f t="shared" ca="1" si="157"/>
        <v>47810.09</v>
      </c>
      <c r="U41" s="169">
        <f t="shared" ca="1" si="157"/>
        <v>47810.09</v>
      </c>
      <c r="V41" s="169">
        <f t="shared" ca="1" si="157"/>
        <v>47810.09</v>
      </c>
      <c r="W41" s="207">
        <f t="shared" ca="1" si="157"/>
        <v>47810.09</v>
      </c>
      <c r="X41" s="196"/>
      <c r="AC41" s="169">
        <f t="shared" ref="AC41" ca="1" si="158">IF($B41,ROUND(AC40*$N39,2),ROUND(SUMIF(OFFSET($B41,1,0,$D41),TRUE,OFFSET(AC41,1,0,$D41))/SUMIF(OFFSET($B41,1,0,$D41),TRUE,OFFSET($K41,1,0,$D41))*$N39,2))</f>
        <v>0</v>
      </c>
    </row>
    <row r="42" spans="1:29" customFormat="1" ht="14.25" customHeight="1" x14ac:dyDescent="0.2">
      <c r="A42" s="82"/>
      <c r="B42" s="82"/>
      <c r="C42" s="82"/>
      <c r="D42" s="82"/>
      <c r="E42" s="82"/>
      <c r="F42" s="82"/>
      <c r="G42" s="82"/>
      <c r="H42" s="82"/>
      <c r="I42" s="82"/>
      <c r="J42" s="82"/>
      <c r="K42" s="82"/>
      <c r="L42" s="371" t="str">
        <f ca="1">INDEX(PO!K$12:K$134,MATCH($A44,PO!$V$12:$V$134,0))</f>
        <v>4.</v>
      </c>
      <c r="M42" s="373" t="str">
        <f ca="1">INDEX(PO!N$12:N$134,MATCH($A44,PO!$V$12:$V$134,0))</f>
        <v>SEGUNDO PAVIMENTO - BANHEIROS</v>
      </c>
      <c r="N42" s="375">
        <f t="shared" ref="N42" ca="1" si="159">IF(ROUND(K44,2)=0,K44,ROUND(K44,2))</f>
        <v>130613.04</v>
      </c>
      <c r="O42" s="220" t="s">
        <v>143</v>
      </c>
      <c r="P42" s="225">
        <f t="shared" ref="P42" ca="1" si="160">IF($B44,0,P43-IF(ISNUMBER(O43),O43,0))</f>
        <v>0</v>
      </c>
      <c r="Q42" s="226">
        <f t="shared" ref="Q42" ca="1" si="161">IF($B44,0,Q43-IF(ISNUMBER(P43),P43,0))</f>
        <v>8.647406108915312E-2</v>
      </c>
      <c r="R42" s="226">
        <f t="shared" ref="R42" ca="1" si="162">IF($B44,0,R43-IF(ISNUMBER(Q43),Q43,0))</f>
        <v>0.27484269564509028</v>
      </c>
      <c r="S42" s="226">
        <f t="shared" ref="S42" ca="1" si="163">IF($B44,0,S43-IF(ISNUMBER(R43),R43,0))</f>
        <v>0.45348450660056611</v>
      </c>
      <c r="T42" s="226">
        <f t="shared" ref="T42" ca="1" si="164">IF($B44,0,T43-IF(ISNUMBER(S43),S43,0))</f>
        <v>0.18519873666519049</v>
      </c>
      <c r="U42" s="226">
        <f t="shared" ref="U42" ca="1" si="165">IF($B44,0,U43-IF(ISNUMBER(T43),T43,0))</f>
        <v>0</v>
      </c>
      <c r="V42" s="226">
        <f t="shared" ref="V42" ca="1" si="166">IF($B44,0,V43-IF(ISNUMBER(U43),U43,0))</f>
        <v>0</v>
      </c>
      <c r="W42" s="227">
        <f t="shared" ref="W42" ca="1" si="167">IF($B44,0,W43-IF(ISNUMBER(V43),V43,0))</f>
        <v>0</v>
      </c>
      <c r="X42" s="196"/>
      <c r="AC42" s="221">
        <f t="shared" ref="AC42" ca="1" si="168">IF($B44,0,AC43-IF(ISNUMBER(AB43),AB43,0))</f>
        <v>0</v>
      </c>
    </row>
    <row r="43" spans="1:29" customFormat="1" ht="14.25" x14ac:dyDescent="0.2">
      <c r="A43" s="184"/>
      <c r="B43" s="184"/>
      <c r="C43" s="184"/>
      <c r="D43" s="184"/>
      <c r="E43" s="184"/>
      <c r="F43" s="184"/>
      <c r="G43" s="184"/>
      <c r="H43" s="184"/>
      <c r="I43" s="184"/>
      <c r="J43" s="184"/>
      <c r="K43" s="184"/>
      <c r="L43" s="372"/>
      <c r="M43" s="374"/>
      <c r="N43" s="376"/>
      <c r="O43" s="170" t="s">
        <v>145</v>
      </c>
      <c r="P43" s="198">
        <f t="shared" ref="P43" ca="1" si="169">MIN(IF($B44,P42+IF(ISNUMBER(O43),O43,0),P44/$N42),1)</f>
        <v>0</v>
      </c>
      <c r="Q43" s="168">
        <f t="shared" ref="Q43" ca="1" si="170">MIN(IF($B44,Q42+IF(ISNUMBER(P43),P43,0),Q44/$N42),1)</f>
        <v>8.647406108915312E-2</v>
      </c>
      <c r="R43" s="168">
        <f t="shared" ref="R43" ca="1" si="171">MIN(IF($B44,R42+IF(ISNUMBER(Q43),Q43,0),R44/$N42),1)</f>
        <v>0.36131675673424341</v>
      </c>
      <c r="S43" s="168">
        <f t="shared" ref="S43" ca="1" si="172">MIN(IF($B44,S42+IF(ISNUMBER(R43),R43,0),S44/$N42),1)</f>
        <v>0.81480126333480951</v>
      </c>
      <c r="T43" s="168">
        <f t="shared" ref="T43" ca="1" si="173">MIN(IF($B44,T42+IF(ISNUMBER(S43),S43,0),T44/$N42),1)</f>
        <v>1</v>
      </c>
      <c r="U43" s="168">
        <f t="shared" ref="U43" ca="1" si="174">MIN(IF($B44,U42+IF(ISNUMBER(T43),T43,0),U44/$N42),1)</f>
        <v>1</v>
      </c>
      <c r="V43" s="168">
        <f t="shared" ref="V43" ca="1" si="175">MIN(IF($B44,V42+IF(ISNUMBER(U43),U43,0),V44/$N42),1)</f>
        <v>1</v>
      </c>
      <c r="W43" s="168">
        <f t="shared" ref="W43" ca="1" si="176">MIN(IF($B44,W42+IF(ISNUMBER(V43),V43,0),W44/$N42),1)</f>
        <v>1</v>
      </c>
      <c r="X43" s="196"/>
      <c r="AC43" s="168">
        <f t="shared" ref="AC43" ca="1" si="177">MIN(IF($B44,AC42+IF(ISNUMBER(AB43),AB43,0),AC44/$N42),1)</f>
        <v>0</v>
      </c>
    </row>
    <row r="44" spans="1:29" customFormat="1" ht="14.25" x14ac:dyDescent="0.2">
      <c r="A44" s="184">
        <f ca="1">OFFSET(A44,-CFF.NumLinha,0)+1</f>
        <v>9</v>
      </c>
      <c r="B44" s="184" t="b">
        <f ca="1">$C44&gt;=OFFSET($C44,CFF.NumLinha,0)</f>
        <v>0</v>
      </c>
      <c r="C44" s="184">
        <f ca="1">INDEX(PO!A$12:A$134,MATCH($A44,PO!$V$12:$V$134,0))</f>
        <v>1</v>
      </c>
      <c r="D44" s="184">
        <f t="shared" ref="D44" ca="1" si="178">IF(ISERROR(J44),I44,SMALL(I44:J44,1))-1</f>
        <v>17</v>
      </c>
      <c r="E44" s="184">
        <f ca="1">IF($C44=1,OFFSET(E44,-CFF.NumLinha,0)+1,OFFSET(E44,-CFF.NumLinha,0))</f>
        <v>4</v>
      </c>
      <c r="F44" s="184">
        <f ca="1">IF($C44=1,0,IF($C44=2,OFFSET(F44,-CFF.NumLinha,0)+1,OFFSET(F44,-CFF.NumLinha,0)))</f>
        <v>0</v>
      </c>
      <c r="G44" s="184">
        <f ca="1">IF(AND($C44&lt;=2,$C44&lt;&gt;0),0,IF($C44=3,OFFSET(G44,-CFF.NumLinha,0)+1,OFFSET(G44,-CFF.NumLinha,0)))</f>
        <v>0</v>
      </c>
      <c r="H44" s="184">
        <f ca="1">IF(AND($C44&lt;=3,$C44&lt;&gt;0),0,IF($C44=4,OFFSET(H44,-CFF.NumLinha,0)+1,OFFSET(H44,-CFF.NumLinha,0)))</f>
        <v>0</v>
      </c>
      <c r="I44" s="184">
        <f t="shared" ref="I44" ca="1" si="179">MATCH(0,OFFSET($D44,1,$C44,ROW($A$66)-ROW($A44)),0)</f>
        <v>22</v>
      </c>
      <c r="J44" s="184">
        <f t="shared" ref="J44" ca="1" si="180">MATCH(OFFSET($D44,0,$C44)+1,OFFSET($D44,1,$C44,ROW($A$66)-ROW($A44)),0)</f>
        <v>18</v>
      </c>
      <c r="K44" s="185">
        <f ca="1">ROUND(INDEX(PO!T$12:T$134,MATCH($A44,PO!$V$12:$V$134,0)),2)+10^-12</f>
        <v>130613.04</v>
      </c>
      <c r="L44" s="372"/>
      <c r="M44" s="374"/>
      <c r="N44" s="376"/>
      <c r="O44" s="204" t="s">
        <v>20</v>
      </c>
      <c r="P44" s="199">
        <f t="shared" ref="P44:W44" ca="1" si="181">IF($B44,ROUND(P43*$N42,2),ROUND(SUMIF(OFFSET($B44,1,0,$D44),TRUE,OFFSET(P44,1,0,$D44))/SUMIF(OFFSET($B44,1,0,$D44),TRUE,OFFSET($K44,1,0,$D44))*$N42,2))</f>
        <v>0</v>
      </c>
      <c r="Q44" s="169">
        <f t="shared" ca="1" si="181"/>
        <v>11294.64</v>
      </c>
      <c r="R44" s="169">
        <f t="shared" ca="1" si="181"/>
        <v>47192.68</v>
      </c>
      <c r="S44" s="169">
        <f t="shared" ca="1" si="181"/>
        <v>106423.67</v>
      </c>
      <c r="T44" s="169">
        <f t="shared" ca="1" si="181"/>
        <v>130613.04</v>
      </c>
      <c r="U44" s="169">
        <f t="shared" ca="1" si="181"/>
        <v>130613.04</v>
      </c>
      <c r="V44" s="169">
        <f t="shared" ca="1" si="181"/>
        <v>130613.04</v>
      </c>
      <c r="W44" s="207">
        <f t="shared" ca="1" si="181"/>
        <v>130613.04</v>
      </c>
      <c r="X44" s="196"/>
      <c r="AC44" s="169">
        <f t="shared" ref="AC44" ca="1" si="182">IF($B44,ROUND(AC43*$N42,2),ROUND(SUMIF(OFFSET($B44,1,0,$D44),TRUE,OFFSET(AC44,1,0,$D44))/SUMIF(OFFSET($B44,1,0,$D44),TRUE,OFFSET($K44,1,0,$D44))*$N42,2))</f>
        <v>0</v>
      </c>
    </row>
    <row r="45" spans="1:29" customFormat="1" ht="14.25" customHeight="1" x14ac:dyDescent="0.2">
      <c r="A45" s="82"/>
      <c r="B45" s="82"/>
      <c r="C45" s="82"/>
      <c r="D45" s="82"/>
      <c r="E45" s="82"/>
      <c r="F45" s="82"/>
      <c r="G45" s="82"/>
      <c r="H45" s="82"/>
      <c r="I45" s="82"/>
      <c r="J45" s="82"/>
      <c r="K45" s="82"/>
      <c r="L45" s="371" t="str">
        <f ca="1">INDEX(PO!K$12:K$134,MATCH($A47,PO!$V$12:$V$134,0))</f>
        <v>4.1.</v>
      </c>
      <c r="M45" s="373" t="str">
        <f ca="1">INDEX(PO!N$12:N$134,MATCH($A47,PO!$V$12:$V$134,0))</f>
        <v>PAVIMENTAÇÃO</v>
      </c>
      <c r="N45" s="375">
        <f t="shared" ref="N45" ca="1" si="183">IF(ROUND(K47,2)=0,K47,ROUND(K47,2))</f>
        <v>22589.279999999999</v>
      </c>
      <c r="O45" s="220" t="s">
        <v>143</v>
      </c>
      <c r="P45" s="225">
        <f t="shared" ref="P45" ca="1" si="184">IF($B47,0,P46-IF(ISNUMBER(O46),O46,0))</f>
        <v>0</v>
      </c>
      <c r="Q45" s="226">
        <v>0.5</v>
      </c>
      <c r="R45" s="226">
        <v>0.5</v>
      </c>
      <c r="S45" s="226">
        <f t="shared" ref="S45" ca="1" si="185">IF($B47,0,S46-IF(ISNUMBER(R46),R46,0))</f>
        <v>0</v>
      </c>
      <c r="T45" s="226">
        <f t="shared" ref="T45" ca="1" si="186">IF($B47,0,T46-IF(ISNUMBER(S46),S46,0))</f>
        <v>0</v>
      </c>
      <c r="U45" s="226">
        <f t="shared" ref="U45" ca="1" si="187">IF($B47,0,U46-IF(ISNUMBER(T46),T46,0))</f>
        <v>0</v>
      </c>
      <c r="V45" s="226">
        <f t="shared" ref="V45" ca="1" si="188">IF($B47,0,V46-IF(ISNUMBER(U46),U46,0))</f>
        <v>0</v>
      </c>
      <c r="W45" s="227">
        <f t="shared" ref="W45" ca="1" si="189">IF($B47,0,W46-IF(ISNUMBER(V46),V46,0))</f>
        <v>0</v>
      </c>
      <c r="X45" s="196"/>
      <c r="AC45" s="221">
        <f t="shared" ref="AC45" ca="1" si="190">IF($B47,0,AC46-IF(ISNUMBER(AB46),AB46,0))</f>
        <v>0</v>
      </c>
    </row>
    <row r="46" spans="1:29" customFormat="1" ht="14.25" x14ac:dyDescent="0.2">
      <c r="A46" s="184"/>
      <c r="B46" s="184"/>
      <c r="C46" s="184"/>
      <c r="D46" s="184"/>
      <c r="E46" s="184"/>
      <c r="F46" s="184"/>
      <c r="G46" s="184"/>
      <c r="H46" s="184"/>
      <c r="I46" s="184"/>
      <c r="J46" s="184"/>
      <c r="K46" s="184"/>
      <c r="L46" s="372"/>
      <c r="M46" s="374"/>
      <c r="N46" s="376"/>
      <c r="O46" s="170" t="s">
        <v>145</v>
      </c>
      <c r="P46" s="198">
        <f t="shared" ref="P46" ca="1" si="191">MIN(IF($B47,P45+IF(ISNUMBER(O46),O46,0),P47/$N45),1)</f>
        <v>0</v>
      </c>
      <c r="Q46" s="168">
        <f t="shared" ref="Q46" ca="1" si="192">MIN(IF($B47,Q45+IF(ISNUMBER(P46),P46,0),Q47/$N45),1)</f>
        <v>0.5</v>
      </c>
      <c r="R46" s="168">
        <f t="shared" ref="R46" ca="1" si="193">MIN(IF($B47,R45+IF(ISNUMBER(Q46),Q46,0),R47/$N45),1)</f>
        <v>1</v>
      </c>
      <c r="S46" s="168">
        <f t="shared" ref="S46" ca="1" si="194">MIN(IF($B47,S45+IF(ISNUMBER(R46),R46,0),S47/$N45),1)</f>
        <v>1</v>
      </c>
      <c r="T46" s="168">
        <f t="shared" ref="T46" ca="1" si="195">MIN(IF($B47,T45+IF(ISNUMBER(S46),S46,0),T47/$N45),1)</f>
        <v>1</v>
      </c>
      <c r="U46" s="168">
        <f t="shared" ref="U46" ca="1" si="196">MIN(IF($B47,U45+IF(ISNUMBER(T46),T46,0),U47/$N45),1)</f>
        <v>1</v>
      </c>
      <c r="V46" s="168">
        <f t="shared" ref="V46" ca="1" si="197">MIN(IF($B47,V45+IF(ISNUMBER(U46),U46,0),V47/$N45),1)</f>
        <v>1</v>
      </c>
      <c r="W46" s="168">
        <f t="shared" ref="W46" ca="1" si="198">MIN(IF($B47,W45+IF(ISNUMBER(V46),V46,0),W47/$N45),1)</f>
        <v>1</v>
      </c>
      <c r="X46" s="196"/>
      <c r="AC46" s="168">
        <f t="shared" ref="AC46" ca="1" si="199">MIN(IF($B47,AC45+IF(ISNUMBER(AB46),AB46,0),AC47/$N45),1)</f>
        <v>0</v>
      </c>
    </row>
    <row r="47" spans="1:29" customFormat="1" ht="14.25" x14ac:dyDescent="0.2">
      <c r="A47" s="184">
        <f ca="1">OFFSET(A47,-CFF.NumLinha,0)+1</f>
        <v>10</v>
      </c>
      <c r="B47" s="184" t="b">
        <f ca="1">$C47&gt;=OFFSET($C47,CFF.NumLinha,0)</f>
        <v>1</v>
      </c>
      <c r="C47" s="184">
        <f ca="1">INDEX(PO!A$12:A$134,MATCH($A47,PO!$V$12:$V$134,0))</f>
        <v>2</v>
      </c>
      <c r="D47" s="184">
        <f t="shared" ref="D47" ca="1" si="200">IF(ISERROR(J47),I47,SMALL(I47:J47,1))-1</f>
        <v>2</v>
      </c>
      <c r="E47" s="184">
        <f ca="1">IF($C47=1,OFFSET(E47,-CFF.NumLinha,0)+1,OFFSET(E47,-CFF.NumLinha,0))</f>
        <v>4</v>
      </c>
      <c r="F47" s="184">
        <f ca="1">IF($C47=1,0,IF($C47=2,OFFSET(F47,-CFF.NumLinha,0)+1,OFFSET(F47,-CFF.NumLinha,0)))</f>
        <v>1</v>
      </c>
      <c r="G47" s="184">
        <f ca="1">IF(AND($C47&lt;=2,$C47&lt;&gt;0),0,IF($C47=3,OFFSET(G47,-CFF.NumLinha,0)+1,OFFSET(G47,-CFF.NumLinha,0)))</f>
        <v>0</v>
      </c>
      <c r="H47" s="184">
        <f ca="1">IF(AND($C47&lt;=3,$C47&lt;&gt;0),0,IF($C47=4,OFFSET(H47,-CFF.NumLinha,0)+1,OFFSET(H47,-CFF.NumLinha,0)))</f>
        <v>0</v>
      </c>
      <c r="I47" s="184">
        <f t="shared" ref="I47" ca="1" si="201">MATCH(0,OFFSET($D47,1,$C47,ROW($A$66)-ROW($A47)),0)</f>
        <v>15</v>
      </c>
      <c r="J47" s="184">
        <f t="shared" ref="J47" ca="1" si="202">MATCH(OFFSET($D47,0,$C47)+1,OFFSET($D47,1,$C47,ROW($A$66)-ROW($A47)),0)</f>
        <v>3</v>
      </c>
      <c r="K47" s="185">
        <f ca="1">ROUND(INDEX(PO!T$12:T$134,MATCH($A47,PO!$V$12:$V$134,0)),2)+10^-12</f>
        <v>22589.279999999999</v>
      </c>
      <c r="L47" s="372"/>
      <c r="M47" s="374"/>
      <c r="N47" s="376"/>
      <c r="O47" s="204" t="s">
        <v>20</v>
      </c>
      <c r="P47" s="199">
        <f t="shared" ref="P47:W47" ca="1" si="203">IF($B47,ROUND(P46*$N45,2),ROUND(SUMIF(OFFSET($B47,1,0,$D47),TRUE,OFFSET(P47,1,0,$D47))/SUMIF(OFFSET($B47,1,0,$D47),TRUE,OFFSET($K47,1,0,$D47))*$N45,2))</f>
        <v>0</v>
      </c>
      <c r="Q47" s="169">
        <f t="shared" ca="1" si="203"/>
        <v>11294.64</v>
      </c>
      <c r="R47" s="169">
        <f t="shared" ca="1" si="203"/>
        <v>22589.279999999999</v>
      </c>
      <c r="S47" s="169">
        <f t="shared" ca="1" si="203"/>
        <v>22589.279999999999</v>
      </c>
      <c r="T47" s="169">
        <f t="shared" ca="1" si="203"/>
        <v>22589.279999999999</v>
      </c>
      <c r="U47" s="169">
        <f t="shared" ca="1" si="203"/>
        <v>22589.279999999999</v>
      </c>
      <c r="V47" s="169">
        <f t="shared" ca="1" si="203"/>
        <v>22589.279999999999</v>
      </c>
      <c r="W47" s="207">
        <f t="shared" ca="1" si="203"/>
        <v>22589.279999999999</v>
      </c>
      <c r="X47" s="196"/>
      <c r="AC47" s="169">
        <f t="shared" ref="AC47" ca="1" si="204">IF($B47,ROUND(AC46*$N45,2),ROUND(SUMIF(OFFSET($B47,1,0,$D47),TRUE,OFFSET(AC47,1,0,$D47))/SUMIF(OFFSET($B47,1,0,$D47),TRUE,OFFSET($K47,1,0,$D47))*$N45,2))</f>
        <v>0</v>
      </c>
    </row>
    <row r="48" spans="1:29" customFormat="1" ht="14.25" customHeight="1" x14ac:dyDescent="0.2">
      <c r="A48" s="82"/>
      <c r="B48" s="82"/>
      <c r="C48" s="82"/>
      <c r="D48" s="82"/>
      <c r="E48" s="82"/>
      <c r="F48" s="82"/>
      <c r="G48" s="82"/>
      <c r="H48" s="82"/>
      <c r="I48" s="82"/>
      <c r="J48" s="82"/>
      <c r="K48" s="82"/>
      <c r="L48" s="371" t="str">
        <f ca="1">INDEX(PO!K$12:K$134,MATCH($A50,PO!$V$12:$V$134,0))</f>
        <v>4.2.</v>
      </c>
      <c r="M48" s="373" t="str">
        <f ca="1">INDEX(PO!N$12:N$134,MATCH($A50,PO!$V$12:$V$134,0))</f>
        <v>REVESTIMENTOS INTERNOS</v>
      </c>
      <c r="N48" s="375">
        <f t="shared" ref="N48" ca="1" si="205">IF(ROUND(K50,2)=0,K50,ROUND(K50,2))</f>
        <v>21077.64</v>
      </c>
      <c r="O48" s="220" t="s">
        <v>143</v>
      </c>
      <c r="P48" s="225">
        <f t="shared" ref="P48" ca="1" si="206">IF($B50,0,P49-IF(ISNUMBER(O49),O49,0))</f>
        <v>0</v>
      </c>
      <c r="Q48" s="226">
        <f t="shared" ref="Q48" ca="1" si="207">IF($B50,0,Q49-IF(ISNUMBER(P49),P49,0))</f>
        <v>0</v>
      </c>
      <c r="R48" s="226">
        <v>0.5</v>
      </c>
      <c r="S48" s="226">
        <v>0.5</v>
      </c>
      <c r="T48" s="226">
        <f t="shared" ref="T48" ca="1" si="208">IF($B50,0,T49-IF(ISNUMBER(S49),S49,0))</f>
        <v>0</v>
      </c>
      <c r="U48" s="226">
        <f t="shared" ref="U48" ca="1" si="209">IF($B50,0,U49-IF(ISNUMBER(T49),T49,0))</f>
        <v>0</v>
      </c>
      <c r="V48" s="226">
        <f t="shared" ref="V48" ca="1" si="210">IF($B50,0,V49-IF(ISNUMBER(U49),U49,0))</f>
        <v>0</v>
      </c>
      <c r="W48" s="227">
        <f t="shared" ref="W48" ca="1" si="211">IF($B50,0,W49-IF(ISNUMBER(V49),V49,0))</f>
        <v>0</v>
      </c>
      <c r="X48" s="196"/>
      <c r="AC48" s="221">
        <f t="shared" ref="AC48" ca="1" si="212">IF($B50,0,AC49-IF(ISNUMBER(AB49),AB49,0))</f>
        <v>0</v>
      </c>
    </row>
    <row r="49" spans="1:29" customFormat="1" ht="14.25" x14ac:dyDescent="0.2">
      <c r="A49" s="184"/>
      <c r="B49" s="184"/>
      <c r="C49" s="184"/>
      <c r="D49" s="184"/>
      <c r="E49" s="184"/>
      <c r="F49" s="184"/>
      <c r="G49" s="184"/>
      <c r="H49" s="184"/>
      <c r="I49" s="184"/>
      <c r="J49" s="184"/>
      <c r="K49" s="184"/>
      <c r="L49" s="372"/>
      <c r="M49" s="374"/>
      <c r="N49" s="376"/>
      <c r="O49" s="170" t="s">
        <v>145</v>
      </c>
      <c r="P49" s="198">
        <f t="shared" ref="P49" ca="1" si="213">MIN(IF($B50,P48+IF(ISNUMBER(O49),O49,0),P50/$N48),1)</f>
        <v>0</v>
      </c>
      <c r="Q49" s="168">
        <f t="shared" ref="Q49" ca="1" si="214">MIN(IF($B50,Q48+IF(ISNUMBER(P49),P49,0),Q50/$N48),1)</f>
        <v>0</v>
      </c>
      <c r="R49" s="168">
        <f t="shared" ref="R49" ca="1" si="215">MIN(IF($B50,R48+IF(ISNUMBER(Q49),Q49,0),R50/$N48),1)</f>
        <v>0.5</v>
      </c>
      <c r="S49" s="168">
        <f t="shared" ref="S49" ca="1" si="216">MIN(IF($B50,S48+IF(ISNUMBER(R49),R49,0),S50/$N48),1)</f>
        <v>1</v>
      </c>
      <c r="T49" s="168">
        <f t="shared" ref="T49" ca="1" si="217">MIN(IF($B50,T48+IF(ISNUMBER(S49),S49,0),T50/$N48),1)</f>
        <v>1</v>
      </c>
      <c r="U49" s="168">
        <f t="shared" ref="U49" ca="1" si="218">MIN(IF($B50,U48+IF(ISNUMBER(T49),T49,0),U50/$N48),1)</f>
        <v>1</v>
      </c>
      <c r="V49" s="168">
        <f t="shared" ref="V49" ca="1" si="219">MIN(IF($B50,V48+IF(ISNUMBER(U49),U49,0),V50/$N48),1)</f>
        <v>1</v>
      </c>
      <c r="W49" s="168">
        <f t="shared" ref="W49" ca="1" si="220">MIN(IF($B50,W48+IF(ISNUMBER(V49),V49,0),W50/$N48),1)</f>
        <v>1</v>
      </c>
      <c r="X49" s="196"/>
      <c r="AC49" s="168">
        <f t="shared" ref="AC49" ca="1" si="221">MIN(IF($B50,AC48+IF(ISNUMBER(AB49),AB49,0),AC50/$N48),1)</f>
        <v>0</v>
      </c>
    </row>
    <row r="50" spans="1:29" customFormat="1" ht="14.25" x14ac:dyDescent="0.2">
      <c r="A50" s="184">
        <f ca="1">OFFSET(A50,-CFF.NumLinha,0)+1</f>
        <v>11</v>
      </c>
      <c r="B50" s="184" t="b">
        <f ca="1">$C50&gt;=OFFSET($C50,CFF.NumLinha,0)</f>
        <v>1</v>
      </c>
      <c r="C50" s="184">
        <f ca="1">INDEX(PO!A$12:A$134,MATCH($A50,PO!$V$12:$V$134,0))</f>
        <v>2</v>
      </c>
      <c r="D50" s="184">
        <f t="shared" ref="D50" ca="1" si="222">IF(ISERROR(J50),I50,SMALL(I50:J50,1))-1</f>
        <v>2</v>
      </c>
      <c r="E50" s="184">
        <f ca="1">IF($C50=1,OFFSET(E50,-CFF.NumLinha,0)+1,OFFSET(E50,-CFF.NumLinha,0))</f>
        <v>4</v>
      </c>
      <c r="F50" s="184">
        <f ca="1">IF($C50=1,0,IF($C50=2,OFFSET(F50,-CFF.NumLinha,0)+1,OFFSET(F50,-CFF.NumLinha,0)))</f>
        <v>2</v>
      </c>
      <c r="G50" s="184">
        <f ca="1">IF(AND($C50&lt;=2,$C50&lt;&gt;0),0,IF($C50=3,OFFSET(G50,-CFF.NumLinha,0)+1,OFFSET(G50,-CFF.NumLinha,0)))</f>
        <v>0</v>
      </c>
      <c r="H50" s="184">
        <f ca="1">IF(AND($C50&lt;=3,$C50&lt;&gt;0),0,IF($C50=4,OFFSET(H50,-CFF.NumLinha,0)+1,OFFSET(H50,-CFF.NumLinha,0)))</f>
        <v>0</v>
      </c>
      <c r="I50" s="184">
        <f t="shared" ref="I50" ca="1" si="223">MATCH(0,OFFSET($D50,1,$C50,ROW($A$66)-ROW($A50)),0)</f>
        <v>12</v>
      </c>
      <c r="J50" s="184">
        <f t="shared" ref="J50" ca="1" si="224">MATCH(OFFSET($D50,0,$C50)+1,OFFSET($D50,1,$C50,ROW($A$66)-ROW($A50)),0)</f>
        <v>3</v>
      </c>
      <c r="K50" s="185">
        <f ca="1">ROUND(INDEX(PO!T$12:T$134,MATCH($A50,PO!$V$12:$V$134,0)),2)+10^-12</f>
        <v>21077.64</v>
      </c>
      <c r="L50" s="372"/>
      <c r="M50" s="374"/>
      <c r="N50" s="376"/>
      <c r="O50" s="204" t="s">
        <v>20</v>
      </c>
      <c r="P50" s="199">
        <f t="shared" ref="P50:W50" ca="1" si="225">IF($B50,ROUND(P49*$N48,2),ROUND(SUMIF(OFFSET($B50,1,0,$D50),TRUE,OFFSET(P50,1,0,$D50))/SUMIF(OFFSET($B50,1,0,$D50),TRUE,OFFSET($K50,1,0,$D50))*$N48,2))</f>
        <v>0</v>
      </c>
      <c r="Q50" s="169">
        <f t="shared" ca="1" si="225"/>
        <v>0</v>
      </c>
      <c r="R50" s="169">
        <f t="shared" ca="1" si="225"/>
        <v>10538.82</v>
      </c>
      <c r="S50" s="169">
        <f t="shared" ca="1" si="225"/>
        <v>21077.64</v>
      </c>
      <c r="T50" s="169">
        <f t="shared" ca="1" si="225"/>
        <v>21077.64</v>
      </c>
      <c r="U50" s="169">
        <f t="shared" ca="1" si="225"/>
        <v>21077.64</v>
      </c>
      <c r="V50" s="169">
        <f t="shared" ca="1" si="225"/>
        <v>21077.64</v>
      </c>
      <c r="W50" s="207">
        <f t="shared" ca="1" si="225"/>
        <v>21077.64</v>
      </c>
      <c r="X50" s="196"/>
      <c r="AC50" s="169">
        <f t="shared" ref="AC50" ca="1" si="226">IF($B50,ROUND(AC49*$N48,2),ROUND(SUMIF(OFFSET($B50,1,0,$D50),TRUE,OFFSET(AC50,1,0,$D50))/SUMIF(OFFSET($B50,1,0,$D50),TRUE,OFFSET($K50,1,0,$D50))*$N48,2))</f>
        <v>0</v>
      </c>
    </row>
    <row r="51" spans="1:29" customFormat="1" ht="14.25" customHeight="1" x14ac:dyDescent="0.2">
      <c r="A51" s="82"/>
      <c r="B51" s="82"/>
      <c r="C51" s="82"/>
      <c r="D51" s="82"/>
      <c r="E51" s="82"/>
      <c r="F51" s="82"/>
      <c r="G51" s="82"/>
      <c r="H51" s="82"/>
      <c r="I51" s="82"/>
      <c r="J51" s="82"/>
      <c r="K51" s="82"/>
      <c r="L51" s="371" t="str">
        <f ca="1">INDEX(PO!K$12:K$134,MATCH($A53,PO!$V$12:$V$134,0))</f>
        <v>4.3.</v>
      </c>
      <c r="M51" s="373" t="str">
        <f ca="1">INDEX(PO!N$12:N$134,MATCH($A53,PO!$V$12:$V$134,0))</f>
        <v>ESQUADRIAS E DIVISÓRIAS</v>
      </c>
      <c r="N51" s="375">
        <f t="shared" ref="N51" ca="1" si="227">IF(ROUND(K53,2)=0,K53,ROUND(K53,2))</f>
        <v>48378.74</v>
      </c>
      <c r="O51" s="220" t="s">
        <v>143</v>
      </c>
      <c r="P51" s="225">
        <f t="shared" ref="P51" ca="1" si="228">IF($B53,0,P52-IF(ISNUMBER(O52),O52,0))</f>
        <v>0</v>
      </c>
      <c r="Q51" s="226">
        <f t="shared" ref="Q51" ca="1" si="229">IF($B53,0,Q52-IF(ISNUMBER(P52),P52,0))</f>
        <v>0</v>
      </c>
      <c r="R51" s="226">
        <f t="shared" ref="R51" ca="1" si="230">IF($B53,0,R52-IF(ISNUMBER(Q52),Q52,0))</f>
        <v>0</v>
      </c>
      <c r="S51" s="226">
        <v>0.5</v>
      </c>
      <c r="T51" s="226">
        <v>0.5</v>
      </c>
      <c r="U51" s="226">
        <f t="shared" ref="U51" ca="1" si="231">IF($B53,0,U52-IF(ISNUMBER(T52),T52,0))</f>
        <v>0</v>
      </c>
      <c r="V51" s="226">
        <f t="shared" ref="V51" ca="1" si="232">IF($B53,0,V52-IF(ISNUMBER(U52),U52,0))</f>
        <v>0</v>
      </c>
      <c r="W51" s="227">
        <f t="shared" ref="W51" ca="1" si="233">IF($B53,0,W52-IF(ISNUMBER(V52),V52,0))</f>
        <v>0</v>
      </c>
      <c r="X51" s="196"/>
      <c r="AC51" s="221">
        <f t="shared" ref="AC51" ca="1" si="234">IF($B53,0,AC52-IF(ISNUMBER(AB52),AB52,0))</f>
        <v>0</v>
      </c>
    </row>
    <row r="52" spans="1:29" customFormat="1" ht="14.25" x14ac:dyDescent="0.2">
      <c r="A52" s="184"/>
      <c r="B52" s="184"/>
      <c r="C52" s="184"/>
      <c r="D52" s="184"/>
      <c r="E52" s="184"/>
      <c r="F52" s="184"/>
      <c r="G52" s="184"/>
      <c r="H52" s="184"/>
      <c r="I52" s="184"/>
      <c r="J52" s="184"/>
      <c r="K52" s="184"/>
      <c r="L52" s="372"/>
      <c r="M52" s="374"/>
      <c r="N52" s="376"/>
      <c r="O52" s="170" t="s">
        <v>145</v>
      </c>
      <c r="P52" s="198">
        <f t="shared" ref="P52" ca="1" si="235">MIN(IF($B53,P51+IF(ISNUMBER(O52),O52,0),P53/$N51),1)</f>
        <v>0</v>
      </c>
      <c r="Q52" s="168">
        <f t="shared" ref="Q52" ca="1" si="236">MIN(IF($B53,Q51+IF(ISNUMBER(P52),P52,0),Q53/$N51),1)</f>
        <v>0</v>
      </c>
      <c r="R52" s="168">
        <f t="shared" ref="R52" ca="1" si="237">MIN(IF($B53,R51+IF(ISNUMBER(Q52),Q52,0),R53/$N51),1)</f>
        <v>0</v>
      </c>
      <c r="S52" s="168">
        <f t="shared" ref="S52" ca="1" si="238">MIN(IF($B53,S51+IF(ISNUMBER(R52),R52,0),S53/$N51),1)</f>
        <v>0.5</v>
      </c>
      <c r="T52" s="168">
        <f t="shared" ref="T52" ca="1" si="239">MIN(IF($B53,T51+IF(ISNUMBER(S52),S52,0),T53/$N51),1)</f>
        <v>1</v>
      </c>
      <c r="U52" s="168">
        <f t="shared" ref="U52" ca="1" si="240">MIN(IF($B53,U51+IF(ISNUMBER(T52),T52,0),U53/$N51),1)</f>
        <v>1</v>
      </c>
      <c r="V52" s="168">
        <f t="shared" ref="V52" ca="1" si="241">MIN(IF($B53,V51+IF(ISNUMBER(U52),U52,0),V53/$N51),1)</f>
        <v>1</v>
      </c>
      <c r="W52" s="168">
        <f t="shared" ref="W52" ca="1" si="242">MIN(IF($B53,W51+IF(ISNUMBER(V52),V52,0),W53/$N51),1)</f>
        <v>1</v>
      </c>
      <c r="X52" s="196"/>
      <c r="AC52" s="168">
        <f t="shared" ref="AC52" ca="1" si="243">MIN(IF($B53,AC51+IF(ISNUMBER(AB52),AB52,0),AC53/$N51),1)</f>
        <v>0</v>
      </c>
    </row>
    <row r="53" spans="1:29" customFormat="1" ht="14.25" x14ac:dyDescent="0.2">
      <c r="A53" s="184">
        <f ca="1">OFFSET(A53,-CFF.NumLinha,0)+1</f>
        <v>12</v>
      </c>
      <c r="B53" s="184" t="b">
        <f ca="1">$C53&gt;=OFFSET($C53,CFF.NumLinha,0)</f>
        <v>1</v>
      </c>
      <c r="C53" s="184">
        <f ca="1">INDEX(PO!A$12:A$134,MATCH($A53,PO!$V$12:$V$134,0))</f>
        <v>2</v>
      </c>
      <c r="D53" s="184">
        <f t="shared" ref="D53" ca="1" si="244">IF(ISERROR(J53),I53,SMALL(I53:J53,1))-1</f>
        <v>2</v>
      </c>
      <c r="E53" s="184">
        <f ca="1">IF($C53=1,OFFSET(E53,-CFF.NumLinha,0)+1,OFFSET(E53,-CFF.NumLinha,0))</f>
        <v>4</v>
      </c>
      <c r="F53" s="184">
        <f ca="1">IF($C53=1,0,IF($C53=2,OFFSET(F53,-CFF.NumLinha,0)+1,OFFSET(F53,-CFF.NumLinha,0)))</f>
        <v>3</v>
      </c>
      <c r="G53" s="184">
        <f ca="1">IF(AND($C53&lt;=2,$C53&lt;&gt;0),0,IF($C53=3,OFFSET(G53,-CFF.NumLinha,0)+1,OFFSET(G53,-CFF.NumLinha,0)))</f>
        <v>0</v>
      </c>
      <c r="H53" s="184">
        <f ca="1">IF(AND($C53&lt;=3,$C53&lt;&gt;0),0,IF($C53=4,OFFSET(H53,-CFF.NumLinha,0)+1,OFFSET(H53,-CFF.NumLinha,0)))</f>
        <v>0</v>
      </c>
      <c r="I53" s="184">
        <f t="shared" ref="I53" ca="1" si="245">MATCH(0,OFFSET($D53,1,$C53,ROW($A$66)-ROW($A53)),0)</f>
        <v>9</v>
      </c>
      <c r="J53" s="184">
        <f t="shared" ref="J53" ca="1" si="246">MATCH(OFFSET($D53,0,$C53)+1,OFFSET($D53,1,$C53,ROW($A$66)-ROW($A53)),0)</f>
        <v>3</v>
      </c>
      <c r="K53" s="185">
        <f ca="1">ROUND(INDEX(PO!T$12:T$134,MATCH($A53,PO!$V$12:$V$134,0)),2)+10^-12</f>
        <v>48378.74</v>
      </c>
      <c r="L53" s="372"/>
      <c r="M53" s="374"/>
      <c r="N53" s="376"/>
      <c r="O53" s="204" t="s">
        <v>20</v>
      </c>
      <c r="P53" s="199">
        <f t="shared" ref="P53:W53" ca="1" si="247">IF($B53,ROUND(P52*$N51,2),ROUND(SUMIF(OFFSET($B53,1,0,$D53),TRUE,OFFSET(P53,1,0,$D53))/SUMIF(OFFSET($B53,1,0,$D53),TRUE,OFFSET($K53,1,0,$D53))*$N51,2))</f>
        <v>0</v>
      </c>
      <c r="Q53" s="169">
        <f t="shared" ca="1" si="247"/>
        <v>0</v>
      </c>
      <c r="R53" s="169">
        <f t="shared" ca="1" si="247"/>
        <v>0</v>
      </c>
      <c r="S53" s="169">
        <f t="shared" ca="1" si="247"/>
        <v>24189.37</v>
      </c>
      <c r="T53" s="169">
        <f t="shared" ca="1" si="247"/>
        <v>48378.74</v>
      </c>
      <c r="U53" s="169">
        <f t="shared" ca="1" si="247"/>
        <v>48378.74</v>
      </c>
      <c r="V53" s="169">
        <f t="shared" ca="1" si="247"/>
        <v>48378.74</v>
      </c>
      <c r="W53" s="207">
        <f t="shared" ca="1" si="247"/>
        <v>48378.74</v>
      </c>
      <c r="X53" s="196"/>
      <c r="AC53" s="169">
        <f t="shared" ref="AC53" ca="1" si="248">IF($B53,ROUND(AC52*$N51,2),ROUND(SUMIF(OFFSET($B53,1,0,$D53),TRUE,OFFSET(AC53,1,0,$D53))/SUMIF(OFFSET($B53,1,0,$D53),TRUE,OFFSET($K53,1,0,$D53))*$N51,2))</f>
        <v>0</v>
      </c>
    </row>
    <row r="54" spans="1:29" customFormat="1" ht="14.25" customHeight="1" x14ac:dyDescent="0.2">
      <c r="A54" s="82"/>
      <c r="B54" s="82"/>
      <c r="C54" s="82"/>
      <c r="D54" s="82"/>
      <c r="E54" s="82"/>
      <c r="F54" s="82"/>
      <c r="G54" s="82"/>
      <c r="H54" s="82"/>
      <c r="I54" s="82"/>
      <c r="J54" s="82"/>
      <c r="K54" s="82"/>
      <c r="L54" s="371" t="str">
        <f ca="1">INDEX(PO!K$12:K$134,MATCH($A56,PO!$V$12:$V$134,0))</f>
        <v>4.4.</v>
      </c>
      <c r="M54" s="373" t="str">
        <f ca="1">INDEX(PO!N$12:N$134,MATCH($A56,PO!$V$12:$V$134,0))</f>
        <v>EQUIPAMENTO SANITÁRIO</v>
      </c>
      <c r="N54" s="375">
        <f t="shared" ref="N54" ca="1" si="249">IF(ROUND(K56,2)=0,K56,ROUND(K56,2))</f>
        <v>24502.799999999999</v>
      </c>
      <c r="O54" s="220" t="s">
        <v>143</v>
      </c>
      <c r="P54" s="225">
        <f t="shared" ref="P54" ca="1" si="250">IF($B56,0,P55-IF(ISNUMBER(O55),O55,0))</f>
        <v>0</v>
      </c>
      <c r="Q54" s="226">
        <f t="shared" ref="Q54" ca="1" si="251">IF($B56,0,Q55-IF(ISNUMBER(P55),P55,0))</f>
        <v>0</v>
      </c>
      <c r="R54" s="226">
        <f t="shared" ref="R54" ca="1" si="252">IF($B56,0,R55-IF(ISNUMBER(Q55),Q55,0))</f>
        <v>0</v>
      </c>
      <c r="S54" s="226">
        <v>1</v>
      </c>
      <c r="T54" s="226">
        <f t="shared" ref="T54" ca="1" si="253">IF($B56,0,T55-IF(ISNUMBER(S55),S55,0))</f>
        <v>0</v>
      </c>
      <c r="U54" s="226">
        <f t="shared" ref="U54" ca="1" si="254">IF($B56,0,U55-IF(ISNUMBER(T55),T55,0))</f>
        <v>0</v>
      </c>
      <c r="V54" s="226">
        <f t="shared" ref="V54" ca="1" si="255">IF($B56,0,V55-IF(ISNUMBER(U55),U55,0))</f>
        <v>0</v>
      </c>
      <c r="W54" s="227">
        <f t="shared" ref="W54" ca="1" si="256">IF($B56,0,W55-IF(ISNUMBER(V55),V55,0))</f>
        <v>0</v>
      </c>
      <c r="X54" s="196"/>
      <c r="AC54" s="221">
        <f t="shared" ref="AC54" ca="1" si="257">IF($B56,0,AC55-IF(ISNUMBER(AB55),AB55,0))</f>
        <v>0</v>
      </c>
    </row>
    <row r="55" spans="1:29" customFormat="1" ht="14.25" x14ac:dyDescent="0.2">
      <c r="A55" s="184"/>
      <c r="B55" s="184"/>
      <c r="C55" s="184"/>
      <c r="D55" s="184"/>
      <c r="E55" s="184"/>
      <c r="F55" s="184"/>
      <c r="G55" s="184"/>
      <c r="H55" s="184"/>
      <c r="I55" s="184"/>
      <c r="J55" s="184"/>
      <c r="K55" s="184"/>
      <c r="L55" s="372"/>
      <c r="M55" s="374"/>
      <c r="N55" s="376"/>
      <c r="O55" s="170" t="s">
        <v>145</v>
      </c>
      <c r="P55" s="198">
        <f t="shared" ref="P55" ca="1" si="258">MIN(IF($B56,P54+IF(ISNUMBER(O55),O55,0),P56/$N54),1)</f>
        <v>0</v>
      </c>
      <c r="Q55" s="168">
        <f t="shared" ref="Q55" ca="1" si="259">MIN(IF($B56,Q54+IF(ISNUMBER(P55),P55,0),Q56/$N54),1)</f>
        <v>0</v>
      </c>
      <c r="R55" s="168">
        <f t="shared" ref="R55" ca="1" si="260">MIN(IF($B56,R54+IF(ISNUMBER(Q55),Q55,0),R56/$N54),1)</f>
        <v>0</v>
      </c>
      <c r="S55" s="168">
        <f t="shared" ref="S55" ca="1" si="261">MIN(IF($B56,S54+IF(ISNUMBER(R55),R55,0),S56/$N54),1)</f>
        <v>1</v>
      </c>
      <c r="T55" s="168">
        <f t="shared" ref="T55" ca="1" si="262">MIN(IF($B56,T54+IF(ISNUMBER(S55),S55,0),T56/$N54),1)</f>
        <v>1</v>
      </c>
      <c r="U55" s="168">
        <f t="shared" ref="U55" ca="1" si="263">MIN(IF($B56,U54+IF(ISNUMBER(T55),T55,0),U56/$N54),1)</f>
        <v>1</v>
      </c>
      <c r="V55" s="168">
        <f t="shared" ref="V55" ca="1" si="264">MIN(IF($B56,V54+IF(ISNUMBER(U55),U55,0),V56/$N54),1)</f>
        <v>1</v>
      </c>
      <c r="W55" s="168">
        <f t="shared" ref="W55" ca="1" si="265">MIN(IF($B56,W54+IF(ISNUMBER(V55),V55,0),W56/$N54),1)</f>
        <v>1</v>
      </c>
      <c r="X55" s="196"/>
      <c r="AC55" s="168">
        <f t="shared" ref="AC55" ca="1" si="266">MIN(IF($B56,AC54+IF(ISNUMBER(AB55),AB55,0),AC56/$N54),1)</f>
        <v>0</v>
      </c>
    </row>
    <row r="56" spans="1:29" customFormat="1" ht="14.25" x14ac:dyDescent="0.2">
      <c r="A56" s="184">
        <f ca="1">OFFSET(A56,-CFF.NumLinha,0)+1</f>
        <v>13</v>
      </c>
      <c r="B56" s="184" t="b">
        <f ca="1">$C56&gt;=OFFSET($C56,CFF.NumLinha,0)</f>
        <v>1</v>
      </c>
      <c r="C56" s="184">
        <f ca="1">INDEX(PO!A$12:A$134,MATCH($A56,PO!$V$12:$V$134,0))</f>
        <v>2</v>
      </c>
      <c r="D56" s="184">
        <f t="shared" ref="D56" ca="1" si="267">IF(ISERROR(J56),I56,SMALL(I56:J56,1))-1</f>
        <v>2</v>
      </c>
      <c r="E56" s="184">
        <f ca="1">IF($C56=1,OFFSET(E56,-CFF.NumLinha,0)+1,OFFSET(E56,-CFF.NumLinha,0))</f>
        <v>4</v>
      </c>
      <c r="F56" s="184">
        <f ca="1">IF($C56=1,0,IF($C56=2,OFFSET(F56,-CFF.NumLinha,0)+1,OFFSET(F56,-CFF.NumLinha,0)))</f>
        <v>4</v>
      </c>
      <c r="G56" s="184">
        <f ca="1">IF(AND($C56&lt;=2,$C56&lt;&gt;0),0,IF($C56=3,OFFSET(G56,-CFF.NumLinha,0)+1,OFFSET(G56,-CFF.NumLinha,0)))</f>
        <v>0</v>
      </c>
      <c r="H56" s="184">
        <f ca="1">IF(AND($C56&lt;=3,$C56&lt;&gt;0),0,IF($C56=4,OFFSET(H56,-CFF.NumLinha,0)+1,OFFSET(H56,-CFF.NumLinha,0)))</f>
        <v>0</v>
      </c>
      <c r="I56" s="184">
        <f t="shared" ref="I56" ca="1" si="268">MATCH(0,OFFSET($D56,1,$C56,ROW($A$66)-ROW($A56)),0)</f>
        <v>6</v>
      </c>
      <c r="J56" s="184">
        <f t="shared" ref="J56" ca="1" si="269">MATCH(OFFSET($D56,0,$C56)+1,OFFSET($D56,1,$C56,ROW($A$66)-ROW($A56)),0)</f>
        <v>3</v>
      </c>
      <c r="K56" s="185">
        <f ca="1">ROUND(INDEX(PO!T$12:T$134,MATCH($A56,PO!$V$12:$V$134,0)),2)+10^-12</f>
        <v>24502.799999999999</v>
      </c>
      <c r="L56" s="372"/>
      <c r="M56" s="374"/>
      <c r="N56" s="376"/>
      <c r="O56" s="204" t="s">
        <v>20</v>
      </c>
      <c r="P56" s="199">
        <f t="shared" ref="P56:W56" ca="1" si="270">IF($B56,ROUND(P55*$N54,2),ROUND(SUMIF(OFFSET($B56,1,0,$D56),TRUE,OFFSET(P56,1,0,$D56))/SUMIF(OFFSET($B56,1,0,$D56),TRUE,OFFSET($K56,1,0,$D56))*$N54,2))</f>
        <v>0</v>
      </c>
      <c r="Q56" s="169">
        <f t="shared" ca="1" si="270"/>
        <v>0</v>
      </c>
      <c r="R56" s="169">
        <f t="shared" ca="1" si="270"/>
        <v>0</v>
      </c>
      <c r="S56" s="169">
        <f t="shared" ca="1" si="270"/>
        <v>24502.799999999999</v>
      </c>
      <c r="T56" s="169">
        <f t="shared" ca="1" si="270"/>
        <v>24502.799999999999</v>
      </c>
      <c r="U56" s="169">
        <f t="shared" ca="1" si="270"/>
        <v>24502.799999999999</v>
      </c>
      <c r="V56" s="169">
        <f t="shared" ca="1" si="270"/>
        <v>24502.799999999999</v>
      </c>
      <c r="W56" s="207">
        <f t="shared" ca="1" si="270"/>
        <v>24502.799999999999</v>
      </c>
      <c r="X56" s="196"/>
      <c r="AC56" s="169">
        <f t="shared" ref="AC56" ca="1" si="271">IF($B56,ROUND(AC55*$N54,2),ROUND(SUMIF(OFFSET($B56,1,0,$D56),TRUE,OFFSET(AC56,1,0,$D56))/SUMIF(OFFSET($B56,1,0,$D56),TRUE,OFFSET($K56,1,0,$D56))*$N54,2))</f>
        <v>0</v>
      </c>
    </row>
    <row r="57" spans="1:29" customFormat="1" ht="14.25" customHeight="1" x14ac:dyDescent="0.2">
      <c r="A57" s="82"/>
      <c r="B57" s="82"/>
      <c r="C57" s="82"/>
      <c r="D57" s="82"/>
      <c r="E57" s="82"/>
      <c r="F57" s="82"/>
      <c r="G57" s="82"/>
      <c r="H57" s="82"/>
      <c r="I57" s="82"/>
      <c r="J57" s="82"/>
      <c r="K57" s="82"/>
      <c r="L57" s="371" t="str">
        <f ca="1">INDEX(PO!K$12:K$134,MATCH($A59,PO!$V$12:$V$134,0))</f>
        <v>4.5.</v>
      </c>
      <c r="M57" s="373" t="str">
        <f ca="1">INDEX(PO!N$12:N$134,MATCH($A59,PO!$V$12:$V$134,0))</f>
        <v>INSTALAÇÕES DE ÁGUA FRIA E ESGOTO SANITÁRIO</v>
      </c>
      <c r="N57" s="375">
        <f t="shared" ref="N57" ca="1" si="272">IF(ROUND(K59,2)=0,K59,ROUND(K59,2))</f>
        <v>14064.58</v>
      </c>
      <c r="O57" s="220" t="s">
        <v>143</v>
      </c>
      <c r="P57" s="225">
        <f t="shared" ref="P57" ca="1" si="273">IF($B59,0,P58-IF(ISNUMBER(O58),O58,0))</f>
        <v>0</v>
      </c>
      <c r="Q57" s="226">
        <f t="shared" ref="Q57" ca="1" si="274">IF($B59,0,Q58-IF(ISNUMBER(P58),P58,0))</f>
        <v>0</v>
      </c>
      <c r="R57" s="226">
        <v>1</v>
      </c>
      <c r="S57" s="226">
        <f t="shared" ref="S57" ca="1" si="275">IF($B59,0,S58-IF(ISNUMBER(R58),R58,0))</f>
        <v>0</v>
      </c>
      <c r="T57" s="226">
        <f t="shared" ref="T57" ca="1" si="276">IF($B59,0,T58-IF(ISNUMBER(S58),S58,0))</f>
        <v>0</v>
      </c>
      <c r="U57" s="226">
        <f t="shared" ref="U57" ca="1" si="277">IF($B59,0,U58-IF(ISNUMBER(T58),T58,0))</f>
        <v>0</v>
      </c>
      <c r="V57" s="226">
        <f t="shared" ref="V57" ca="1" si="278">IF($B59,0,V58-IF(ISNUMBER(U58),U58,0))</f>
        <v>0</v>
      </c>
      <c r="W57" s="227">
        <f t="shared" ref="W57" ca="1" si="279">IF($B59,0,W58-IF(ISNUMBER(V58),V58,0))</f>
        <v>0</v>
      </c>
      <c r="X57" s="196"/>
      <c r="AC57" s="221">
        <f t="shared" ref="AC57" ca="1" si="280">IF($B59,0,AC58-IF(ISNUMBER(AB58),AB58,0))</f>
        <v>0</v>
      </c>
    </row>
    <row r="58" spans="1:29" customFormat="1" ht="14.25" x14ac:dyDescent="0.2">
      <c r="A58" s="184"/>
      <c r="B58" s="184"/>
      <c r="C58" s="184"/>
      <c r="D58" s="184"/>
      <c r="E58" s="184"/>
      <c r="F58" s="184"/>
      <c r="G58" s="184"/>
      <c r="H58" s="184"/>
      <c r="I58" s="184"/>
      <c r="J58" s="184"/>
      <c r="K58" s="184"/>
      <c r="L58" s="372"/>
      <c r="M58" s="374"/>
      <c r="N58" s="376"/>
      <c r="O58" s="170" t="s">
        <v>145</v>
      </c>
      <c r="P58" s="198">
        <f t="shared" ref="P58" ca="1" si="281">MIN(IF($B59,P57+IF(ISNUMBER(O58),O58,0),P59/$N57),1)</f>
        <v>0</v>
      </c>
      <c r="Q58" s="168">
        <f t="shared" ref="Q58" ca="1" si="282">MIN(IF($B59,Q57+IF(ISNUMBER(P58),P58,0),Q59/$N57),1)</f>
        <v>0</v>
      </c>
      <c r="R58" s="168">
        <f t="shared" ref="R58" ca="1" si="283">MIN(IF($B59,R57+IF(ISNUMBER(Q58),Q58,0),R59/$N57),1)</f>
        <v>1</v>
      </c>
      <c r="S58" s="168">
        <f t="shared" ref="S58" ca="1" si="284">MIN(IF($B59,S57+IF(ISNUMBER(R58),R58,0),S59/$N57),1)</f>
        <v>1</v>
      </c>
      <c r="T58" s="168">
        <f t="shared" ref="T58" ca="1" si="285">MIN(IF($B59,T57+IF(ISNUMBER(S58),S58,0),T59/$N57),1)</f>
        <v>1</v>
      </c>
      <c r="U58" s="168">
        <f t="shared" ref="U58" ca="1" si="286">MIN(IF($B59,U57+IF(ISNUMBER(T58),T58,0),U59/$N57),1)</f>
        <v>1</v>
      </c>
      <c r="V58" s="168">
        <f t="shared" ref="V58" ca="1" si="287">MIN(IF($B59,V57+IF(ISNUMBER(U58),U58,0),V59/$N57),1)</f>
        <v>1</v>
      </c>
      <c r="W58" s="168">
        <f t="shared" ref="W58" ca="1" si="288">MIN(IF($B59,W57+IF(ISNUMBER(V58),V58,0),W59/$N57),1)</f>
        <v>1</v>
      </c>
      <c r="X58" s="196"/>
      <c r="AC58" s="168">
        <f t="shared" ref="AC58" ca="1" si="289">MIN(IF($B59,AC57+IF(ISNUMBER(AB58),AB58,0),AC59/$N57),1)</f>
        <v>0</v>
      </c>
    </row>
    <row r="59" spans="1:29" customFormat="1" ht="14.25" x14ac:dyDescent="0.2">
      <c r="A59" s="184">
        <f ca="1">OFFSET(A59,-CFF.NumLinha,0)+1</f>
        <v>14</v>
      </c>
      <c r="B59" s="184" t="b">
        <f ca="1">$C59&gt;=OFFSET($C59,CFF.NumLinha,0)</f>
        <v>1</v>
      </c>
      <c r="C59" s="184">
        <f ca="1">INDEX(PO!A$12:A$134,MATCH($A59,PO!$V$12:$V$134,0))</f>
        <v>2</v>
      </c>
      <c r="D59" s="184">
        <f t="shared" ref="D59" ca="1" si="290">IF(ISERROR(J59),I59,SMALL(I59:J59,1))-1</f>
        <v>2</v>
      </c>
      <c r="E59" s="184">
        <f ca="1">IF($C59=1,OFFSET(E59,-CFF.NumLinha,0)+1,OFFSET(E59,-CFF.NumLinha,0))</f>
        <v>4</v>
      </c>
      <c r="F59" s="184">
        <f ca="1">IF($C59=1,0,IF($C59=2,OFFSET(F59,-CFF.NumLinha,0)+1,OFFSET(F59,-CFF.NumLinha,0)))</f>
        <v>5</v>
      </c>
      <c r="G59" s="184">
        <f ca="1">IF(AND($C59&lt;=2,$C59&lt;&gt;0),0,IF($C59=3,OFFSET(G59,-CFF.NumLinha,0)+1,OFFSET(G59,-CFF.NumLinha,0)))</f>
        <v>0</v>
      </c>
      <c r="H59" s="184">
        <f ca="1">IF(AND($C59&lt;=3,$C59&lt;&gt;0),0,IF($C59=4,OFFSET(H59,-CFF.NumLinha,0)+1,OFFSET(H59,-CFF.NumLinha,0)))</f>
        <v>0</v>
      </c>
      <c r="I59" s="184">
        <f t="shared" ref="I59" ca="1" si="291">MATCH(0,OFFSET($D59,1,$C59,ROW($A$66)-ROW($A59)),0)</f>
        <v>3</v>
      </c>
      <c r="J59" s="184" t="e">
        <f t="shared" ref="J59" ca="1" si="292">MATCH(OFFSET($D59,0,$C59)+1,OFFSET($D59,1,$C59,ROW($A$66)-ROW($A59)),0)</f>
        <v>#N/A</v>
      </c>
      <c r="K59" s="185">
        <f ca="1">ROUND(INDEX(PO!T$12:T$134,MATCH($A59,PO!$V$12:$V$134,0)),2)+10^-12</f>
        <v>14064.580000000002</v>
      </c>
      <c r="L59" s="372"/>
      <c r="M59" s="374"/>
      <c r="N59" s="376"/>
      <c r="O59" s="204" t="s">
        <v>20</v>
      </c>
      <c r="P59" s="199">
        <f t="shared" ref="P59:W59" ca="1" si="293">IF($B59,ROUND(P58*$N57,2),ROUND(SUMIF(OFFSET($B59,1,0,$D59),TRUE,OFFSET(P59,1,0,$D59))/SUMIF(OFFSET($B59,1,0,$D59),TRUE,OFFSET($K59,1,0,$D59))*$N57,2))</f>
        <v>0</v>
      </c>
      <c r="Q59" s="169">
        <f t="shared" ca="1" si="293"/>
        <v>0</v>
      </c>
      <c r="R59" s="169">
        <f t="shared" ca="1" si="293"/>
        <v>14064.58</v>
      </c>
      <c r="S59" s="169">
        <f t="shared" ca="1" si="293"/>
        <v>14064.58</v>
      </c>
      <c r="T59" s="169">
        <f t="shared" ca="1" si="293"/>
        <v>14064.58</v>
      </c>
      <c r="U59" s="169">
        <f t="shared" ca="1" si="293"/>
        <v>14064.58</v>
      </c>
      <c r="V59" s="169">
        <f t="shared" ca="1" si="293"/>
        <v>14064.58</v>
      </c>
      <c r="W59" s="207">
        <f t="shared" ca="1" si="293"/>
        <v>14064.58</v>
      </c>
      <c r="X59" s="196"/>
      <c r="AC59" s="169">
        <f t="shared" ref="AC59" ca="1" si="294">IF($B59,ROUND(AC58*$N57,2),ROUND(SUMIF(OFFSET($B59,1,0,$D59),TRUE,OFFSET(AC59,1,0,$D59))/SUMIF(OFFSET($B59,1,0,$D59),TRUE,OFFSET($K59,1,0,$D59))*$N57,2))</f>
        <v>0</v>
      </c>
    </row>
    <row r="60" spans="1:29" customFormat="1" ht="14.25" customHeight="1" x14ac:dyDescent="0.2">
      <c r="A60" s="82"/>
      <c r="B60" s="82"/>
      <c r="C60" s="82"/>
      <c r="D60" s="82"/>
      <c r="E60" s="82"/>
      <c r="F60" s="82"/>
      <c r="G60" s="82"/>
      <c r="H60" s="82"/>
      <c r="I60" s="82"/>
      <c r="J60" s="82"/>
      <c r="K60" s="82"/>
      <c r="L60" s="371" t="str">
        <f ca="1">INDEX(PO!K$12:K$134,MATCH($A62,PO!$V$12:$V$134,0))</f>
        <v>5.</v>
      </c>
      <c r="M60" s="373" t="str">
        <f ca="1">INDEX(PO!N$12:N$134,MATCH($A62,PO!$V$12:$V$134,0))</f>
        <v>MURO DE CONTENÇÃO</v>
      </c>
      <c r="N60" s="375">
        <f t="shared" ref="N60" ca="1" si="295">IF(ROUND(K62,2)=0,K62,ROUND(K62,2))</f>
        <v>27645.73</v>
      </c>
      <c r="O60" s="220" t="s">
        <v>143</v>
      </c>
      <c r="P60" s="225">
        <v>0.25</v>
      </c>
      <c r="Q60" s="226">
        <v>0.75</v>
      </c>
      <c r="R60" s="226">
        <f t="shared" ref="R60" ca="1" si="296">IF($B62,0,R61-IF(ISNUMBER(Q61),Q61,0))</f>
        <v>0</v>
      </c>
      <c r="S60" s="226">
        <f t="shared" ref="S60" ca="1" si="297">IF($B62,0,S61-IF(ISNUMBER(R61),R61,0))</f>
        <v>0</v>
      </c>
      <c r="T60" s="226">
        <f t="shared" ref="T60" ca="1" si="298">IF($B62,0,T61-IF(ISNUMBER(S61),S61,0))</f>
        <v>0</v>
      </c>
      <c r="U60" s="226">
        <f t="shared" ref="U60" ca="1" si="299">IF($B62,0,U61-IF(ISNUMBER(T61),T61,0))</f>
        <v>0</v>
      </c>
      <c r="V60" s="226">
        <f t="shared" ref="V60" ca="1" si="300">IF($B62,0,V61-IF(ISNUMBER(U61),U61,0))</f>
        <v>0</v>
      </c>
      <c r="W60" s="227">
        <f t="shared" ref="W60" ca="1" si="301">IF($B62,0,W61-IF(ISNUMBER(V61),V61,0))</f>
        <v>0</v>
      </c>
      <c r="X60" s="196"/>
      <c r="AC60" s="221">
        <f t="shared" ref="AC60" ca="1" si="302">IF($B62,0,AC61-IF(ISNUMBER(AB61),AB61,0))</f>
        <v>0</v>
      </c>
    </row>
    <row r="61" spans="1:29" customFormat="1" ht="14.25" x14ac:dyDescent="0.2">
      <c r="A61" s="184"/>
      <c r="B61" s="184"/>
      <c r="C61" s="184"/>
      <c r="D61" s="184"/>
      <c r="E61" s="184"/>
      <c r="F61" s="184"/>
      <c r="G61" s="184"/>
      <c r="H61" s="184"/>
      <c r="I61" s="184"/>
      <c r="J61" s="184"/>
      <c r="K61" s="184"/>
      <c r="L61" s="372"/>
      <c r="M61" s="374"/>
      <c r="N61" s="376"/>
      <c r="O61" s="170" t="s">
        <v>145</v>
      </c>
      <c r="P61" s="198">
        <f t="shared" ref="P61" ca="1" si="303">MIN(IF($B62,P60+IF(ISNUMBER(O61),O61,0),P62/$N60),1)</f>
        <v>0.25</v>
      </c>
      <c r="Q61" s="168">
        <f t="shared" ref="Q61" ca="1" si="304">MIN(IF($B62,Q60+IF(ISNUMBER(P61),P61,0),Q62/$N60),1)</f>
        <v>1</v>
      </c>
      <c r="R61" s="168">
        <f t="shared" ref="R61" ca="1" si="305">MIN(IF($B62,R60+IF(ISNUMBER(Q61),Q61,0),R62/$N60),1)</f>
        <v>1</v>
      </c>
      <c r="S61" s="168">
        <f t="shared" ref="S61" ca="1" si="306">MIN(IF($B62,S60+IF(ISNUMBER(R61),R61,0),S62/$N60),1)</f>
        <v>1</v>
      </c>
      <c r="T61" s="168">
        <f t="shared" ref="T61" ca="1" si="307">MIN(IF($B62,T60+IF(ISNUMBER(S61),S61,0),T62/$N60),1)</f>
        <v>1</v>
      </c>
      <c r="U61" s="168">
        <f t="shared" ref="U61" ca="1" si="308">MIN(IF($B62,U60+IF(ISNUMBER(T61),T61,0),U62/$N60),1)</f>
        <v>1</v>
      </c>
      <c r="V61" s="168">
        <f t="shared" ref="V61" ca="1" si="309">MIN(IF($B62,V60+IF(ISNUMBER(U61),U61,0),V62/$N60),1)</f>
        <v>1</v>
      </c>
      <c r="W61" s="168">
        <f t="shared" ref="W61" ca="1" si="310">MIN(IF($B62,W60+IF(ISNUMBER(V61),V61,0),W62/$N60),1)</f>
        <v>1</v>
      </c>
      <c r="X61" s="196"/>
      <c r="AC61" s="168">
        <f t="shared" ref="AC61" ca="1" si="311">MIN(IF($B62,AC60+IF(ISNUMBER(AB61),AB61,0),AC62/$N60),1)</f>
        <v>0</v>
      </c>
    </row>
    <row r="62" spans="1:29" customFormat="1" ht="14.25" x14ac:dyDescent="0.2">
      <c r="A62" s="184">
        <f ca="1">OFFSET(A62,-CFF.NumLinha,0)+1</f>
        <v>15</v>
      </c>
      <c r="B62" s="184" t="b">
        <f ca="1">$C62&gt;=OFFSET($C62,CFF.NumLinha,0)</f>
        <v>1</v>
      </c>
      <c r="C62" s="184">
        <f ca="1">INDEX(PO!A$12:A$134,MATCH($A62,PO!$V$12:$V$134,0))</f>
        <v>1</v>
      </c>
      <c r="D62" s="184">
        <f t="shared" ref="D62" ca="1" si="312">IF(ISERROR(J62),I62,SMALL(I62:J62,1))-1</f>
        <v>2</v>
      </c>
      <c r="E62" s="184">
        <f ca="1">IF($C62=1,OFFSET(E62,-CFF.NumLinha,0)+1,OFFSET(E62,-CFF.NumLinha,0))</f>
        <v>5</v>
      </c>
      <c r="F62" s="184">
        <f ca="1">IF($C62=1,0,IF($C62=2,OFFSET(F62,-CFF.NumLinha,0)+1,OFFSET(F62,-CFF.NumLinha,0)))</f>
        <v>0</v>
      </c>
      <c r="G62" s="184">
        <f ca="1">IF(AND($C62&lt;=2,$C62&lt;&gt;0),0,IF($C62=3,OFFSET(G62,-CFF.NumLinha,0)+1,OFFSET(G62,-CFF.NumLinha,0)))</f>
        <v>0</v>
      </c>
      <c r="H62" s="184">
        <f ca="1">IF(AND($C62&lt;=3,$C62&lt;&gt;0),0,IF($C62=4,OFFSET(H62,-CFF.NumLinha,0)+1,OFFSET(H62,-CFF.NumLinha,0)))</f>
        <v>0</v>
      </c>
      <c r="I62" s="184">
        <f t="shared" ref="I62" ca="1" si="313">MATCH(0,OFFSET($D62,1,$C62,ROW($A$66)-ROW($A62)),0)</f>
        <v>4</v>
      </c>
      <c r="J62" s="184">
        <f t="shared" ref="J62" ca="1" si="314">MATCH(OFFSET($D62,0,$C62)+1,OFFSET($D62,1,$C62,ROW($A$66)-ROW($A62)),0)</f>
        <v>3</v>
      </c>
      <c r="K62" s="185">
        <f ca="1">ROUND(INDEX(PO!T$12:T$134,MATCH($A62,PO!$V$12:$V$134,0)),2)+10^-12</f>
        <v>27645.73</v>
      </c>
      <c r="L62" s="372"/>
      <c r="M62" s="374"/>
      <c r="N62" s="376"/>
      <c r="O62" s="204" t="s">
        <v>20</v>
      </c>
      <c r="P62" s="199">
        <f t="shared" ref="P62:W62" ca="1" si="315">IF($B62,ROUND(P61*$N60,2),ROUND(SUMIF(OFFSET($B62,1,0,$D62),TRUE,OFFSET(P62,1,0,$D62))/SUMIF(OFFSET($B62,1,0,$D62),TRUE,OFFSET($K62,1,0,$D62))*$N60,2))</f>
        <v>6911.43</v>
      </c>
      <c r="Q62" s="169">
        <f t="shared" ca="1" si="315"/>
        <v>27645.73</v>
      </c>
      <c r="R62" s="169">
        <f t="shared" ca="1" si="315"/>
        <v>27645.73</v>
      </c>
      <c r="S62" s="169">
        <f t="shared" ca="1" si="315"/>
        <v>27645.73</v>
      </c>
      <c r="T62" s="169">
        <f t="shared" ca="1" si="315"/>
        <v>27645.73</v>
      </c>
      <c r="U62" s="169">
        <f t="shared" ca="1" si="315"/>
        <v>27645.73</v>
      </c>
      <c r="V62" s="169">
        <f t="shared" ca="1" si="315"/>
        <v>27645.73</v>
      </c>
      <c r="W62" s="207">
        <f t="shared" ca="1" si="315"/>
        <v>27645.73</v>
      </c>
      <c r="X62" s="196"/>
      <c r="AC62" s="169">
        <f t="shared" ref="AC62" ca="1" si="316">IF($B62,ROUND(AC61*$N60,2),ROUND(SUMIF(OFFSET($B62,1,0,$D62),TRUE,OFFSET(AC62,1,0,$D62))/SUMIF(OFFSET($B62,1,0,$D62),TRUE,OFFSET($K62,1,0,$D62))*$N60,2))</f>
        <v>0</v>
      </c>
    </row>
    <row r="63" spans="1:29" customFormat="1" ht="14.25" customHeight="1" x14ac:dyDescent="0.2">
      <c r="A63" s="82"/>
      <c r="B63" s="82"/>
      <c r="C63" s="82"/>
      <c r="D63" s="82"/>
      <c r="E63" s="82"/>
      <c r="F63" s="82"/>
      <c r="G63" s="82"/>
      <c r="H63" s="82"/>
      <c r="I63" s="82"/>
      <c r="J63" s="82"/>
      <c r="K63" s="82"/>
      <c r="L63" s="371" t="str">
        <f ca="1">INDEX(PO!K$12:K$134,MATCH($A65,PO!$V$12:$V$134,0))</f>
        <v>6.</v>
      </c>
      <c r="M63" s="373" t="str">
        <f ca="1">INDEX(PO!N$12:N$134,MATCH($A65,PO!$V$12:$V$134,0))</f>
        <v>SERVIÇOS FINAIS</v>
      </c>
      <c r="N63" s="375">
        <f t="shared" ref="N63" ca="1" si="317">IF(ROUND(K65,2)=0,K65,ROUND(K65,2))</f>
        <v>1045.08</v>
      </c>
      <c r="O63" s="220" t="s">
        <v>143</v>
      </c>
      <c r="P63" s="225">
        <f t="shared" ref="P63" ca="1" si="318">IF($B65,0,P64-IF(ISNUMBER(O64),O64,0))</f>
        <v>0</v>
      </c>
      <c r="Q63" s="226">
        <f t="shared" ref="Q63" ca="1" si="319">IF($B65,0,Q64-IF(ISNUMBER(P64),P64,0))</f>
        <v>0</v>
      </c>
      <c r="R63" s="226">
        <f t="shared" ref="R63" ca="1" si="320">IF($B65,0,R64-IF(ISNUMBER(Q64),Q64,0))</f>
        <v>0</v>
      </c>
      <c r="S63" s="226">
        <f t="shared" ref="S63" ca="1" si="321">IF($B65,0,S64-IF(ISNUMBER(R64),R64,0))</f>
        <v>0</v>
      </c>
      <c r="T63" s="226">
        <v>1</v>
      </c>
      <c r="U63" s="226">
        <f t="shared" ref="U63" ca="1" si="322">IF($B65,0,U64-IF(ISNUMBER(T64),T64,0))</f>
        <v>0</v>
      </c>
      <c r="V63" s="226">
        <f t="shared" ref="V63" ca="1" si="323">IF($B65,0,V64-IF(ISNUMBER(U64),U64,0))</f>
        <v>0</v>
      </c>
      <c r="W63" s="227">
        <f t="shared" ref="W63" ca="1" si="324">IF($B65,0,W64-IF(ISNUMBER(V64),V64,0))</f>
        <v>0</v>
      </c>
      <c r="X63" s="196"/>
      <c r="AC63" s="221">
        <f t="shared" ref="AC63" ca="1" si="325">IF($B65,0,AC64-IF(ISNUMBER(AB64),AB64,0))</f>
        <v>0</v>
      </c>
    </row>
    <row r="64" spans="1:29" customFormat="1" ht="14.25" x14ac:dyDescent="0.2">
      <c r="A64" s="184"/>
      <c r="B64" s="184"/>
      <c r="C64" s="184"/>
      <c r="D64" s="184"/>
      <c r="E64" s="184"/>
      <c r="F64" s="184"/>
      <c r="G64" s="184"/>
      <c r="H64" s="184"/>
      <c r="I64" s="184"/>
      <c r="J64" s="184"/>
      <c r="K64" s="184"/>
      <c r="L64" s="372"/>
      <c r="M64" s="374"/>
      <c r="N64" s="376"/>
      <c r="O64" s="170" t="s">
        <v>145</v>
      </c>
      <c r="P64" s="198">
        <f t="shared" ref="P64" ca="1" si="326">MIN(IF($B65,P63+IF(ISNUMBER(O64),O64,0),P65/$N63),1)</f>
        <v>0</v>
      </c>
      <c r="Q64" s="168">
        <f t="shared" ref="Q64" ca="1" si="327">MIN(IF($B65,Q63+IF(ISNUMBER(P64),P64,0),Q65/$N63),1)</f>
        <v>0</v>
      </c>
      <c r="R64" s="168">
        <f t="shared" ref="R64" ca="1" si="328">MIN(IF($B65,R63+IF(ISNUMBER(Q64),Q64,0),R65/$N63),1)</f>
        <v>0</v>
      </c>
      <c r="S64" s="168">
        <f t="shared" ref="S64" ca="1" si="329">MIN(IF($B65,S63+IF(ISNUMBER(R64),R64,0),S65/$N63),1)</f>
        <v>0</v>
      </c>
      <c r="T64" s="168">
        <f t="shared" ref="T64" ca="1" si="330">MIN(IF($B65,T63+IF(ISNUMBER(S64),S64,0),T65/$N63),1)</f>
        <v>1</v>
      </c>
      <c r="U64" s="168">
        <f t="shared" ref="U64" ca="1" si="331">MIN(IF($B65,U63+IF(ISNUMBER(T64),T64,0),U65/$N63),1)</f>
        <v>1</v>
      </c>
      <c r="V64" s="168">
        <f t="shared" ref="V64" ca="1" si="332">MIN(IF($B65,V63+IF(ISNUMBER(U64),U64,0),V65/$N63),1)</f>
        <v>1</v>
      </c>
      <c r="W64" s="168">
        <f t="shared" ref="W64" ca="1" si="333">MIN(IF($B65,W63+IF(ISNUMBER(V64),V64,0),W65/$N63),1)</f>
        <v>1</v>
      </c>
      <c r="X64" s="196"/>
      <c r="AC64" s="168">
        <f t="shared" ref="AC64" ca="1" si="334">MIN(IF($B65,AC63+IF(ISNUMBER(AB64),AB64,0),AC65/$N63),1)</f>
        <v>0</v>
      </c>
    </row>
    <row r="65" spans="1:29" customFormat="1" ht="14.25" x14ac:dyDescent="0.2">
      <c r="A65" s="184">
        <f ca="1">OFFSET(A65,-CFF.NumLinha,0)+1</f>
        <v>16</v>
      </c>
      <c r="B65" s="184" t="b">
        <f ca="1">$C65&gt;=OFFSET($C65,CFF.NumLinha,0)</f>
        <v>1</v>
      </c>
      <c r="C65" s="184">
        <f ca="1">INDEX(PO!A$12:A$134,MATCH($A65,PO!$V$12:$V$134,0))</f>
        <v>1</v>
      </c>
      <c r="D65" s="184">
        <f t="shared" ref="D65" ca="1" si="335">IF(ISERROR(J65),I65,SMALL(I65:J65,1))-1</f>
        <v>0</v>
      </c>
      <c r="E65" s="184">
        <f ca="1">IF($C65=1,OFFSET(E65,-CFF.NumLinha,0)+1,OFFSET(E65,-CFF.NumLinha,0))</f>
        <v>6</v>
      </c>
      <c r="F65" s="184">
        <f ca="1">IF($C65=1,0,IF($C65=2,OFFSET(F65,-CFF.NumLinha,0)+1,OFFSET(F65,-CFF.NumLinha,0)))</f>
        <v>0</v>
      </c>
      <c r="G65" s="184">
        <f ca="1">IF(AND($C65&lt;=2,$C65&lt;&gt;0),0,IF($C65=3,OFFSET(G65,-CFF.NumLinha,0)+1,OFFSET(G65,-CFF.NumLinha,0)))</f>
        <v>0</v>
      </c>
      <c r="H65" s="184">
        <f ca="1">IF(AND($C65&lt;=3,$C65&lt;&gt;0),0,IF($C65=4,OFFSET(H65,-CFF.NumLinha,0)+1,OFFSET(H65,-CFF.NumLinha,0)))</f>
        <v>0</v>
      </c>
      <c r="I65" s="184">
        <f t="shared" ref="I65" ca="1" si="336">MATCH(0,OFFSET($D65,1,$C65,ROW($A$66)-ROW($A65)),0)</f>
        <v>1</v>
      </c>
      <c r="J65" s="184" t="e">
        <f t="shared" ref="J65" ca="1" si="337">MATCH(OFFSET($D65,0,$C65)+1,OFFSET($D65,1,$C65,ROW($A$66)-ROW($A65)),0)</f>
        <v>#N/A</v>
      </c>
      <c r="K65" s="185">
        <f ca="1">ROUND(INDEX(PO!T$12:T$134,MATCH($A65,PO!$V$12:$V$134,0)),2)+10^-12</f>
        <v>1045.0800000000008</v>
      </c>
      <c r="L65" s="372"/>
      <c r="M65" s="374"/>
      <c r="N65" s="376"/>
      <c r="O65" s="204" t="s">
        <v>20</v>
      </c>
      <c r="P65" s="199">
        <f t="shared" ref="P65:W65" ca="1" si="338">IF($B65,ROUND(P64*$N63,2),ROUND(SUMIF(OFFSET($B65,1,0,$D65),TRUE,OFFSET(P65,1,0,$D65))/SUMIF(OFFSET($B65,1,0,$D65),TRUE,OFFSET($K65,1,0,$D65))*$N63,2))</f>
        <v>0</v>
      </c>
      <c r="Q65" s="169">
        <f t="shared" ca="1" si="338"/>
        <v>0</v>
      </c>
      <c r="R65" s="169">
        <f t="shared" ca="1" si="338"/>
        <v>0</v>
      </c>
      <c r="S65" s="169">
        <f t="shared" ca="1" si="338"/>
        <v>0</v>
      </c>
      <c r="T65" s="169">
        <f t="shared" ca="1" si="338"/>
        <v>1045.08</v>
      </c>
      <c r="U65" s="169">
        <f t="shared" ca="1" si="338"/>
        <v>1045.08</v>
      </c>
      <c r="V65" s="169">
        <f t="shared" ca="1" si="338"/>
        <v>1045.08</v>
      </c>
      <c r="W65" s="207">
        <f t="shared" ca="1" si="338"/>
        <v>1045.08</v>
      </c>
      <c r="X65" s="196"/>
      <c r="AC65" s="169">
        <f t="shared" ref="AC65" ca="1" si="339">IF($B65,ROUND(AC64*$N63,2),ROUND(SUMIF(OFFSET($B65,1,0,$D65),TRUE,OFFSET(AC65,1,0,$D65))/SUMIF(OFFSET($B65,1,0,$D65),TRUE,OFFSET($K65,1,0,$D65))*$N63,2))</f>
        <v>0</v>
      </c>
    </row>
    <row r="66" spans="1:29" s="45" customFormat="1" ht="12.75" customHeight="1" x14ac:dyDescent="0.2">
      <c r="A66" s="1"/>
      <c r="B66" s="1"/>
      <c r="C66" s="184">
        <v>-1</v>
      </c>
      <c r="D66" s="184"/>
      <c r="E66" s="184">
        <v>0</v>
      </c>
      <c r="F66" s="184">
        <v>0</v>
      </c>
      <c r="G66" s="184">
        <v>0</v>
      </c>
      <c r="H66" s="184">
        <v>0</v>
      </c>
      <c r="I66" s="1"/>
      <c r="J66" s="1"/>
      <c r="K66" s="1"/>
      <c r="L66" s="154"/>
      <c r="M66" s="154"/>
      <c r="N66" s="155"/>
      <c r="O66" s="154"/>
      <c r="P66" s="154"/>
      <c r="Q66" s="155"/>
      <c r="R66" s="154"/>
      <c r="S66" s="154"/>
      <c r="T66" s="154"/>
      <c r="U66" s="154"/>
      <c r="V66" s="154"/>
      <c r="W66" s="154"/>
      <c r="X66" s="186"/>
      <c r="AC66" s="154"/>
    </row>
    <row r="67" spans="1:29" ht="12" customHeight="1" x14ac:dyDescent="0.2">
      <c r="A67" s="1"/>
      <c r="B67" s="1"/>
      <c r="C67" s="1"/>
      <c r="D67" s="1"/>
      <c r="E67" s="1"/>
      <c r="F67" s="1"/>
      <c r="G67" s="1"/>
      <c r="H67" s="1"/>
      <c r="I67" s="1"/>
      <c r="J67" s="1"/>
      <c r="K67" s="1"/>
      <c r="L67" s="187"/>
      <c r="M67" s="187"/>
      <c r="N67" s="187"/>
      <c r="O67" s="187"/>
      <c r="P67" s="187"/>
      <c r="Q67" s="187"/>
      <c r="R67" s="187"/>
      <c r="S67" s="187"/>
      <c r="T67" s="187"/>
      <c r="U67" s="187"/>
      <c r="V67" s="187"/>
      <c r="W67" s="187"/>
      <c r="X67" s="188"/>
      <c r="AC67" s="187"/>
    </row>
    <row r="68" spans="1:29" x14ac:dyDescent="0.2">
      <c r="A68" s="1"/>
      <c r="B68" s="1"/>
      <c r="C68" s="1"/>
      <c r="D68" s="1"/>
      <c r="E68" s="1"/>
      <c r="F68" s="1"/>
      <c r="G68" s="1"/>
      <c r="H68" s="1"/>
      <c r="I68" s="1"/>
      <c r="J68" s="1"/>
      <c r="K68" s="1"/>
      <c r="L68" s="380">
        <f>DADOS!I32</f>
        <v>0</v>
      </c>
      <c r="M68" s="380"/>
      <c r="N68" s="380"/>
      <c r="O68" s="187"/>
      <c r="P68" s="189"/>
      <c r="Q68" s="377"/>
      <c r="R68" s="377"/>
      <c r="S68" s="377"/>
      <c r="T68" s="187"/>
      <c r="U68" s="187"/>
      <c r="V68" s="187"/>
      <c r="W68" s="187"/>
      <c r="X68" s="188"/>
      <c r="AC68" s="187"/>
    </row>
    <row r="69" spans="1:29" x14ac:dyDescent="0.2">
      <c r="A69" s="1"/>
      <c r="B69" s="1"/>
      <c r="C69" s="1"/>
      <c r="D69" s="1"/>
      <c r="E69" s="1"/>
      <c r="F69" s="1"/>
      <c r="G69" s="1"/>
      <c r="H69" s="1"/>
      <c r="I69" s="1"/>
      <c r="J69" s="1"/>
      <c r="K69" s="1"/>
      <c r="L69" s="190" t="s">
        <v>120</v>
      </c>
      <c r="M69" s="379"/>
      <c r="N69" s="379"/>
      <c r="O69" s="187"/>
      <c r="P69" s="189"/>
      <c r="Q69" s="377"/>
      <c r="R69" s="377"/>
      <c r="S69" s="377"/>
      <c r="T69" s="187"/>
      <c r="U69" s="187"/>
      <c r="V69" s="187"/>
      <c r="W69" s="187"/>
      <c r="X69" s="188"/>
      <c r="AC69" s="187"/>
    </row>
    <row r="70" spans="1:29" x14ac:dyDescent="0.2">
      <c r="A70" s="1"/>
      <c r="B70" s="1"/>
      <c r="C70" s="1"/>
      <c r="D70" s="1"/>
      <c r="E70" s="1"/>
      <c r="F70" s="1"/>
      <c r="G70" s="1"/>
      <c r="H70" s="1"/>
      <c r="I70" s="1"/>
      <c r="J70" s="1"/>
      <c r="K70" s="1"/>
      <c r="L70" s="189"/>
      <c r="M70" s="378"/>
      <c r="N70" s="379"/>
      <c r="O70" s="187"/>
      <c r="P70" s="189"/>
      <c r="Q70" s="377"/>
      <c r="R70" s="377"/>
      <c r="S70" s="377"/>
      <c r="T70" s="187"/>
      <c r="U70" s="187"/>
      <c r="V70" s="187"/>
      <c r="W70" s="187"/>
      <c r="X70" s="188"/>
      <c r="AC70" s="187"/>
    </row>
    <row r="71" spans="1:29" x14ac:dyDescent="0.2">
      <c r="A71" s="1"/>
      <c r="B71" s="1"/>
      <c r="C71" s="1"/>
      <c r="D71" s="1"/>
      <c r="E71" s="1"/>
      <c r="F71" s="1"/>
      <c r="G71" s="1"/>
      <c r="H71" s="1"/>
      <c r="I71" s="1"/>
      <c r="J71" s="1"/>
      <c r="K71" s="1"/>
      <c r="L71" s="382">
        <f ca="1">PO!K148</f>
        <v>44068</v>
      </c>
      <c r="M71" s="382"/>
      <c r="N71" s="382"/>
      <c r="O71" s="187"/>
      <c r="P71" s="187"/>
      <c r="Q71" s="187"/>
      <c r="R71" s="187"/>
      <c r="S71" s="187"/>
      <c r="T71" s="187"/>
      <c r="U71" s="187"/>
      <c r="V71" s="187"/>
      <c r="W71" s="187"/>
      <c r="X71" s="191"/>
      <c r="AC71" s="187"/>
    </row>
    <row r="72" spans="1:29" x14ac:dyDescent="0.2">
      <c r="A72" s="1"/>
      <c r="B72" s="1"/>
      <c r="C72" s="1"/>
      <c r="D72" s="1"/>
      <c r="E72" s="1"/>
      <c r="F72" s="1"/>
      <c r="G72" s="1"/>
      <c r="H72" s="1"/>
      <c r="I72" s="1"/>
      <c r="J72" s="1"/>
      <c r="K72" s="1"/>
      <c r="L72" s="192" t="s">
        <v>121</v>
      </c>
      <c r="M72" s="193"/>
      <c r="N72" s="193"/>
      <c r="O72" s="187"/>
      <c r="P72" s="187"/>
      <c r="Q72" s="187"/>
      <c r="R72" s="187"/>
      <c r="S72" s="187"/>
      <c r="T72" s="187"/>
      <c r="U72" s="187"/>
      <c r="V72" s="187"/>
      <c r="W72" s="187"/>
      <c r="X72" s="191"/>
      <c r="AC72" s="187"/>
    </row>
    <row r="73" spans="1:29" x14ac:dyDescent="0.2">
      <c r="A73" s="1"/>
      <c r="B73" s="1"/>
      <c r="C73" s="1"/>
      <c r="D73" s="1"/>
      <c r="E73" s="1"/>
      <c r="F73" s="1"/>
      <c r="G73" s="1"/>
      <c r="H73" s="1"/>
      <c r="I73" s="1"/>
      <c r="J73" s="1"/>
      <c r="K73" s="1"/>
      <c r="L73" s="187"/>
      <c r="M73" s="187"/>
      <c r="N73" s="187"/>
      <c r="O73" s="187"/>
      <c r="P73" s="187"/>
      <c r="Q73" s="187"/>
      <c r="R73" s="187"/>
      <c r="S73" s="187"/>
      <c r="T73" s="187"/>
      <c r="U73" s="187"/>
      <c r="V73" s="187"/>
      <c r="W73" s="187"/>
      <c r="X73" s="191"/>
      <c r="AC73" s="187"/>
    </row>
    <row r="74" spans="1:29" x14ac:dyDescent="0.2">
      <c r="A74" s="1"/>
      <c r="B74" s="1"/>
      <c r="C74" s="1"/>
      <c r="D74" s="1"/>
      <c r="E74" s="1"/>
      <c r="F74" s="1"/>
      <c r="G74" s="1"/>
      <c r="H74" s="1"/>
      <c r="I74" s="1"/>
      <c r="J74" s="1"/>
      <c r="K74" s="1"/>
      <c r="L74" s="187"/>
      <c r="M74" s="187"/>
      <c r="N74" s="194"/>
      <c r="O74" s="187"/>
      <c r="P74" s="187"/>
      <c r="Q74" s="187"/>
      <c r="R74" s="187"/>
      <c r="S74" s="187"/>
      <c r="T74" s="187"/>
      <c r="U74" s="187"/>
      <c r="V74" s="187"/>
      <c r="W74" s="187"/>
      <c r="X74" s="188"/>
      <c r="AC74" s="187"/>
    </row>
    <row r="75" spans="1:29" x14ac:dyDescent="0.2">
      <c r="A75" s="1"/>
      <c r="B75" s="1"/>
      <c r="C75" s="1"/>
      <c r="D75" s="1"/>
      <c r="E75" s="1"/>
      <c r="F75" s="1"/>
      <c r="G75" s="1"/>
      <c r="H75" s="1"/>
      <c r="I75" s="1"/>
      <c r="J75" s="1"/>
      <c r="K75" s="1"/>
      <c r="L75" s="187"/>
      <c r="M75" s="187"/>
      <c r="N75" s="194"/>
      <c r="O75" s="187"/>
      <c r="P75" s="187"/>
      <c r="Q75" s="187"/>
      <c r="R75" s="187"/>
      <c r="S75" s="187"/>
      <c r="T75" s="187"/>
      <c r="U75" s="187"/>
      <c r="V75" s="187"/>
      <c r="W75" s="187"/>
      <c r="X75" s="188"/>
      <c r="AC75" s="187"/>
    </row>
    <row r="76" spans="1:29" x14ac:dyDescent="0.2">
      <c r="A76" s="1"/>
      <c r="B76" s="1"/>
      <c r="C76" s="1"/>
      <c r="D76" s="1"/>
      <c r="E76" s="1"/>
      <c r="F76" s="1"/>
      <c r="G76" s="1"/>
      <c r="H76" s="1"/>
      <c r="I76" s="1"/>
      <c r="J76" s="1"/>
      <c r="K76" s="1"/>
      <c r="L76" s="82"/>
      <c r="M76" s="82"/>
      <c r="N76" s="7"/>
      <c r="O76" s="82"/>
      <c r="P76" s="82"/>
      <c r="Q76" s="82"/>
      <c r="R76" s="82"/>
      <c r="S76" s="82"/>
      <c r="T76" s="82"/>
      <c r="U76" s="82"/>
      <c r="V76" s="82"/>
      <c r="W76" s="187"/>
      <c r="X76" s="188"/>
      <c r="AC76" s="82"/>
    </row>
  </sheetData>
  <sheetProtection algorithmName="SHA-512" hashValue="Smqe/MOqxXpnuJ7zuTfkKAuQnpBJaFOtwx5/1zw8nEYMOhLk0iSvONv55AHB5UGt7opkAbQEB/0oFo8kRn1Y6Q==" saltValue="xjPWoaYx+dJ8Z58qXVhPww==" spinCount="100000" sheet="1" objects="1" scenarios="1"/>
  <mergeCells count="61">
    <mergeCell ref="L71:N71"/>
    <mergeCell ref="L11:L13"/>
    <mergeCell ref="M11:M13"/>
    <mergeCell ref="L14:M17"/>
    <mergeCell ref="N14:N17"/>
    <mergeCell ref="L18:L20"/>
    <mergeCell ref="L27:L29"/>
    <mergeCell ref="M27:M29"/>
    <mergeCell ref="N27:N29"/>
    <mergeCell ref="L30:L32"/>
    <mergeCell ref="M30:M32"/>
    <mergeCell ref="N30:N32"/>
    <mergeCell ref="L33:L35"/>
    <mergeCell ref="M33:M35"/>
    <mergeCell ref="N33:N35"/>
    <mergeCell ref="L36:L38"/>
    <mergeCell ref="L8:M8"/>
    <mergeCell ref="N11:N13"/>
    <mergeCell ref="M18:M20"/>
    <mergeCell ref="N18:N20"/>
    <mergeCell ref="L21:L23"/>
    <mergeCell ref="M21:M23"/>
    <mergeCell ref="N21:N23"/>
    <mergeCell ref="L24:L26"/>
    <mergeCell ref="M24:M26"/>
    <mergeCell ref="N24:N26"/>
    <mergeCell ref="M36:M38"/>
    <mergeCell ref="N36:N38"/>
    <mergeCell ref="Q70:S70"/>
    <mergeCell ref="M70:N70"/>
    <mergeCell ref="Q69:S69"/>
    <mergeCell ref="Q68:S68"/>
    <mergeCell ref="L68:N68"/>
    <mergeCell ref="M69:N69"/>
    <mergeCell ref="L39:L41"/>
    <mergeCell ref="M39:M41"/>
    <mergeCell ref="N39:N41"/>
    <mergeCell ref="L42:L44"/>
    <mergeCell ref="M42:M44"/>
    <mergeCell ref="N42:N44"/>
    <mergeCell ref="L45:L47"/>
    <mergeCell ref="M45:M47"/>
    <mergeCell ref="N45:N47"/>
    <mergeCell ref="L48:L50"/>
    <mergeCell ref="M48:M50"/>
    <mergeCell ref="N48:N50"/>
    <mergeCell ref="L51:L53"/>
    <mergeCell ref="M51:M53"/>
    <mergeCell ref="N51:N53"/>
    <mergeCell ref="L54:L56"/>
    <mergeCell ref="M54:M56"/>
    <mergeCell ref="N54:N56"/>
    <mergeCell ref="L63:L65"/>
    <mergeCell ref="M63:M65"/>
    <mergeCell ref="N63:N65"/>
    <mergeCell ref="L57:L59"/>
    <mergeCell ref="M57:M59"/>
    <mergeCell ref="N57:N59"/>
    <mergeCell ref="L60:L62"/>
    <mergeCell ref="M60:M62"/>
    <mergeCell ref="N60:N62"/>
  </mergeCells>
  <phoneticPr fontId="20" type="noConversion"/>
  <conditionalFormatting sqref="L11:N11 L12:M13 L18:N18">
    <cfRule type="expression" dxfId="100" priority="1052" stopIfTrue="1">
      <formula>$C13=1</formula>
    </cfRule>
  </conditionalFormatting>
  <conditionalFormatting sqref="O11 O18">
    <cfRule type="expression" dxfId="99" priority="1124" stopIfTrue="1">
      <formula>$B13=FALSE</formula>
    </cfRule>
    <cfRule type="expression" dxfId="98" priority="1125" stopIfTrue="1">
      <formula>$C13=1</formula>
    </cfRule>
  </conditionalFormatting>
  <conditionalFormatting sqref="P12:W12">
    <cfRule type="expression" dxfId="97" priority="1114" stopIfTrue="1">
      <formula>AND(ISNUMBER(O13),O13&gt;=$N11)</formula>
    </cfRule>
    <cfRule type="cellIs" dxfId="96" priority="1115" stopIfTrue="1" operator="notBetween">
      <formula>0</formula>
      <formula>1</formula>
    </cfRule>
  </conditionalFormatting>
  <conditionalFormatting sqref="P13:W13">
    <cfRule type="expression" dxfId="95" priority="1116" stopIfTrue="1">
      <formula>AND(ISNUMBER(O13),O13&gt;=$N11)</formula>
    </cfRule>
    <cfRule type="cellIs" dxfId="94" priority="1117" stopIfTrue="1" operator="notBetween">
      <formula>0</formula>
      <formula>$N11</formula>
    </cfRule>
  </conditionalFormatting>
  <conditionalFormatting sqref="P14:W14">
    <cfRule type="expression" dxfId="93" priority="1118" stopIfTrue="1">
      <formula>AND(ISNUMBER(O17),O17&gt;=$N14)</formula>
    </cfRule>
  </conditionalFormatting>
  <conditionalFormatting sqref="P15:W15">
    <cfRule type="expression" dxfId="92" priority="1119" stopIfTrue="1">
      <formula>AND(ISNUMBER(O17),O17&gt;=$N14)</formula>
    </cfRule>
  </conditionalFormatting>
  <conditionalFormatting sqref="P16:W16">
    <cfRule type="expression" dxfId="91" priority="1120" stopIfTrue="1">
      <formula>AND(ISNUMBER(O17),O17&gt;=$N14)</formula>
    </cfRule>
    <cfRule type="cellIs" dxfId="90" priority="1121" stopIfTrue="1" operator="notBetween">
      <formula>0</formula>
      <formula>1</formula>
    </cfRule>
  </conditionalFormatting>
  <conditionalFormatting sqref="P17:W17">
    <cfRule type="expression" dxfId="89" priority="1122" stopIfTrue="1">
      <formula>AND(ISNUMBER(O17),O17&gt;=$N14)</formula>
    </cfRule>
    <cfRule type="cellIs" dxfId="88" priority="1123" stopIfTrue="1" operator="notBetween">
      <formula>0</formula>
      <formula>$N14</formula>
    </cfRule>
  </conditionalFormatting>
  <conditionalFormatting sqref="L8">
    <cfRule type="cellIs" dxfId="87" priority="1109" stopIfTrue="1" operator="notEqual">
      <formula>""</formula>
    </cfRule>
  </conditionalFormatting>
  <conditionalFormatting sqref="N9">
    <cfRule type="expression" dxfId="86" priority="1108" stopIfTrue="1">
      <formula>TipoOrçamento&lt;&gt;"REPROGRAMADOAC"</formula>
    </cfRule>
  </conditionalFormatting>
  <conditionalFormatting sqref="L19:M20">
    <cfRule type="expression" dxfId="85" priority="1943" stopIfTrue="1">
      <formula>#REF!=1</formula>
    </cfRule>
  </conditionalFormatting>
  <conditionalFormatting sqref="P11:W11">
    <cfRule type="expression" dxfId="84" priority="263" stopIfTrue="1">
      <formula>AND(ISNUMBER(O13),O13&gt;=$N11)</formula>
    </cfRule>
    <cfRule type="expression" dxfId="83" priority="264" stopIfTrue="1">
      <formula>$B13=FALSE</formula>
    </cfRule>
    <cfRule type="expression" dxfId="82" priority="265" stopIfTrue="1">
      <formula>$C13=1</formula>
    </cfRule>
  </conditionalFormatting>
  <conditionalFormatting sqref="P19:W19">
    <cfRule type="expression" dxfId="81" priority="214" stopIfTrue="1">
      <formula>AND(ISNUMBER(O20),O20&gt;=$N18)</formula>
    </cfRule>
    <cfRule type="cellIs" dxfId="80" priority="215" stopIfTrue="1" operator="notBetween">
      <formula>0</formula>
      <formula>1</formula>
    </cfRule>
  </conditionalFormatting>
  <conditionalFormatting sqref="P20:W20">
    <cfRule type="expression" dxfId="79" priority="216" stopIfTrue="1">
      <formula>AND(ISNUMBER(O20),O20&gt;=$N18)</formula>
    </cfRule>
    <cfRule type="cellIs" dxfId="78" priority="217" stopIfTrue="1" operator="notBetween">
      <formula>0</formula>
      <formula>$N18</formula>
    </cfRule>
  </conditionalFormatting>
  <conditionalFormatting sqref="O10:W10">
    <cfRule type="expression" dxfId="77" priority="186" stopIfTrue="1">
      <formula>1=1</formula>
    </cfRule>
  </conditionalFormatting>
  <conditionalFormatting sqref="P18:W18">
    <cfRule type="expression" dxfId="76" priority="141" stopIfTrue="1">
      <formula>AND(ISNUMBER(O20),O20&gt;=$N18)</formula>
    </cfRule>
    <cfRule type="expression" dxfId="75" priority="142" stopIfTrue="1">
      <formula>$B20=FALSE</formula>
    </cfRule>
    <cfRule type="expression" dxfId="74" priority="143" stopIfTrue="1">
      <formula>$C20=1</formula>
    </cfRule>
  </conditionalFormatting>
  <conditionalFormatting sqref="AC18">
    <cfRule type="expression" dxfId="73" priority="61" stopIfTrue="1">
      <formula>AND(ISNUMBER(AB20),AB20&gt;=$N18)</formula>
    </cfRule>
    <cfRule type="expression" dxfId="72" priority="62" stopIfTrue="1">
      <formula>$B20=FALSE</formula>
    </cfRule>
    <cfRule type="expression" dxfId="71" priority="63" stopIfTrue="1">
      <formula>$C20=1</formula>
    </cfRule>
  </conditionalFormatting>
  <conditionalFormatting sqref="AC12">
    <cfRule type="expression" dxfId="70" priority="76" stopIfTrue="1">
      <formula>AND(ISNUMBER(AB13),AB13&gt;=$N11)</formula>
    </cfRule>
    <cfRule type="cellIs" dxfId="69" priority="77" stopIfTrue="1" operator="notBetween">
      <formula>0</formula>
      <formula>1</formula>
    </cfRule>
  </conditionalFormatting>
  <conditionalFormatting sqref="AC13">
    <cfRule type="expression" dxfId="68" priority="78" stopIfTrue="1">
      <formula>AND(ISNUMBER(AB13),AB13&gt;=$N11)</formula>
    </cfRule>
    <cfRule type="cellIs" dxfId="67" priority="79" stopIfTrue="1" operator="notBetween">
      <formula>0</formula>
      <formula>$N11</formula>
    </cfRule>
  </conditionalFormatting>
  <conditionalFormatting sqref="AC14">
    <cfRule type="expression" dxfId="66" priority="80" stopIfTrue="1">
      <formula>AND(ISNUMBER(AB17),AB17&gt;=$N14)</formula>
    </cfRule>
  </conditionalFormatting>
  <conditionalFormatting sqref="AC15">
    <cfRule type="expression" dxfId="65" priority="81" stopIfTrue="1">
      <formula>AND(ISNUMBER(AB17),AB17&gt;=$N14)</formula>
    </cfRule>
  </conditionalFormatting>
  <conditionalFormatting sqref="AC16">
    <cfRule type="expression" dxfId="64" priority="82" stopIfTrue="1">
      <formula>AND(ISNUMBER(AB17),AB17&gt;=$N14)</formula>
    </cfRule>
    <cfRule type="cellIs" dxfId="63" priority="83" stopIfTrue="1" operator="notBetween">
      <formula>0</formula>
      <formula>1</formula>
    </cfRule>
  </conditionalFormatting>
  <conditionalFormatting sqref="AC17">
    <cfRule type="expression" dxfId="62" priority="84" stopIfTrue="1">
      <formula>AND(ISNUMBER(AB17),AB17&gt;=$N14)</formula>
    </cfRule>
    <cfRule type="cellIs" dxfId="61" priority="85" stopIfTrue="1" operator="notBetween">
      <formula>0</formula>
      <formula>$N14</formula>
    </cfRule>
  </conditionalFormatting>
  <conditionalFormatting sqref="AC11">
    <cfRule type="expression" dxfId="60" priority="73" stopIfTrue="1">
      <formula>AND(ISNUMBER(AB13),AB13&gt;=$N11)</formula>
    </cfRule>
    <cfRule type="expression" dxfId="59" priority="74" stopIfTrue="1">
      <formula>$B13=FALSE</formula>
    </cfRule>
    <cfRule type="expression" dxfId="58" priority="75" stopIfTrue="1">
      <formula>$C13=1</formula>
    </cfRule>
  </conditionalFormatting>
  <conditionalFormatting sqref="AC19">
    <cfRule type="expression" dxfId="57" priority="69" stopIfTrue="1">
      <formula>AND(ISNUMBER(AB20),AB20&gt;=$N18)</formula>
    </cfRule>
    <cfRule type="cellIs" dxfId="56" priority="70" stopIfTrue="1" operator="notBetween">
      <formula>0</formula>
      <formula>1</formula>
    </cfRule>
  </conditionalFormatting>
  <conditionalFormatting sqref="AC20">
    <cfRule type="expression" dxfId="55" priority="71" stopIfTrue="1">
      <formula>AND(ISNUMBER(AB20),AB20&gt;=$N18)</formula>
    </cfRule>
    <cfRule type="cellIs" dxfId="54" priority="72" stopIfTrue="1" operator="notBetween">
      <formula>0</formula>
      <formula>$N18</formula>
    </cfRule>
  </conditionalFormatting>
  <conditionalFormatting sqref="AC10">
    <cfRule type="expression" dxfId="53" priority="64" stopIfTrue="1">
      <formula>1=1</formula>
    </cfRule>
  </conditionalFormatting>
  <conditionalFormatting sqref="L21:N21 L24:N24 L27:N27 L30:N30 L22:M23 L25:M26 L28:M29">
    <cfRule type="expression" dxfId="52" priority="45" stopIfTrue="1">
      <formula>$C23=1</formula>
    </cfRule>
  </conditionalFormatting>
  <conditionalFormatting sqref="O21 O24 O27 O30">
    <cfRule type="expression" dxfId="51" priority="50" stopIfTrue="1">
      <formula>$B23=FALSE</formula>
    </cfRule>
    <cfRule type="expression" dxfId="50" priority="51" stopIfTrue="1">
      <formula>$C23=1</formula>
    </cfRule>
  </conditionalFormatting>
  <conditionalFormatting sqref="P22:W22 P25:W25 P28:W28 P31:W31">
    <cfRule type="expression" dxfId="49" priority="46" stopIfTrue="1">
      <formula>AND(ISNUMBER(O23),O23&gt;=$N21)</formula>
    </cfRule>
    <cfRule type="cellIs" dxfId="48" priority="47" stopIfTrue="1" operator="notBetween">
      <formula>0</formula>
      <formula>1</formula>
    </cfRule>
  </conditionalFormatting>
  <conditionalFormatting sqref="P23:W23 P26:W26 P29:W29 P32:W32">
    <cfRule type="expression" dxfId="47" priority="48" stopIfTrue="1">
      <formula>AND(ISNUMBER(O23),O23&gt;=$N21)</formula>
    </cfRule>
    <cfRule type="cellIs" dxfId="46" priority="49" stopIfTrue="1" operator="notBetween">
      <formula>0</formula>
      <formula>$N21</formula>
    </cfRule>
  </conditionalFormatting>
  <conditionalFormatting sqref="P21:W21 P24:W24 P27:W27 P30:W30">
    <cfRule type="expression" dxfId="45" priority="42" stopIfTrue="1">
      <formula>AND(ISNUMBER(O23),O23&gt;=$N21)</formula>
    </cfRule>
    <cfRule type="expression" dxfId="44" priority="43" stopIfTrue="1">
      <formula>$B23=FALSE</formula>
    </cfRule>
    <cfRule type="expression" dxfId="43" priority="44" stopIfTrue="1">
      <formula>$C23=1</formula>
    </cfRule>
  </conditionalFormatting>
  <conditionalFormatting sqref="AC22 AC25 AC28 AC31">
    <cfRule type="expression" dxfId="42" priority="38" stopIfTrue="1">
      <formula>AND(ISNUMBER(AB23),AB23&gt;=$N21)</formula>
    </cfRule>
    <cfRule type="cellIs" dxfId="41" priority="39" stopIfTrue="1" operator="notBetween">
      <formula>0</formula>
      <formula>1</formula>
    </cfRule>
  </conditionalFormatting>
  <conditionalFormatting sqref="AC23 AC26 AC29 AC32">
    <cfRule type="expression" dxfId="40" priority="40" stopIfTrue="1">
      <formula>AND(ISNUMBER(AB23),AB23&gt;=$N21)</formula>
    </cfRule>
    <cfRule type="cellIs" dxfId="39" priority="41" stopIfTrue="1" operator="notBetween">
      <formula>0</formula>
      <formula>$N21</formula>
    </cfRule>
  </conditionalFormatting>
  <conditionalFormatting sqref="AC21 AC24 AC27 AC30">
    <cfRule type="expression" dxfId="38" priority="35" stopIfTrue="1">
      <formula>AND(ISNUMBER(AB23),AB23&gt;=$N21)</formula>
    </cfRule>
    <cfRule type="expression" dxfId="37" priority="36" stopIfTrue="1">
      <formula>$B23=FALSE</formula>
    </cfRule>
    <cfRule type="expression" dxfId="36" priority="37" stopIfTrue="1">
      <formula>$C23=1</formula>
    </cfRule>
  </conditionalFormatting>
  <conditionalFormatting sqref="L31:M32">
    <cfRule type="expression" dxfId="35" priority="2020" stopIfTrue="1">
      <formula>$C66=1</formula>
    </cfRule>
  </conditionalFormatting>
  <conditionalFormatting sqref="L33:N33 L36:N36 L34:M35">
    <cfRule type="expression" dxfId="34" priority="28" stopIfTrue="1">
      <formula>$C35=1</formula>
    </cfRule>
  </conditionalFormatting>
  <conditionalFormatting sqref="O33 O36">
    <cfRule type="expression" dxfId="33" priority="33" stopIfTrue="1">
      <formula>$B35=FALSE</formula>
    </cfRule>
    <cfRule type="expression" dxfId="32" priority="34" stopIfTrue="1">
      <formula>$C35=1</formula>
    </cfRule>
  </conditionalFormatting>
  <conditionalFormatting sqref="P34:W34 P37:W37">
    <cfRule type="expression" dxfId="31" priority="29" stopIfTrue="1">
      <formula>AND(ISNUMBER(O35),O35&gt;=$N33)</formula>
    </cfRule>
    <cfRule type="cellIs" dxfId="30" priority="30" stopIfTrue="1" operator="notBetween">
      <formula>0</formula>
      <formula>1</formula>
    </cfRule>
  </conditionalFormatting>
  <conditionalFormatting sqref="P35:W35 P38:W38">
    <cfRule type="expression" dxfId="29" priority="31" stopIfTrue="1">
      <formula>AND(ISNUMBER(O35),O35&gt;=$N33)</formula>
    </cfRule>
    <cfRule type="cellIs" dxfId="28" priority="32" stopIfTrue="1" operator="notBetween">
      <formula>0</formula>
      <formula>$N33</formula>
    </cfRule>
  </conditionalFormatting>
  <conditionalFormatting sqref="P33:W33 P36:W36">
    <cfRule type="expression" dxfId="27" priority="25" stopIfTrue="1">
      <formula>AND(ISNUMBER(O35),O35&gt;=$N33)</formula>
    </cfRule>
    <cfRule type="expression" dxfId="26" priority="26" stopIfTrue="1">
      <formula>$B35=FALSE</formula>
    </cfRule>
    <cfRule type="expression" dxfId="25" priority="27" stopIfTrue="1">
      <formula>$C35=1</formula>
    </cfRule>
  </conditionalFormatting>
  <conditionalFormatting sqref="AC34 AC37">
    <cfRule type="expression" dxfId="24" priority="21" stopIfTrue="1">
      <formula>AND(ISNUMBER(AB35),AB35&gt;=$N33)</formula>
    </cfRule>
    <cfRule type="cellIs" dxfId="23" priority="22" stopIfTrue="1" operator="notBetween">
      <formula>0</formula>
      <formula>1</formula>
    </cfRule>
  </conditionalFormatting>
  <conditionalFormatting sqref="AC35 AC38">
    <cfRule type="expression" dxfId="22" priority="23" stopIfTrue="1">
      <formula>AND(ISNUMBER(AB35),AB35&gt;=$N33)</formula>
    </cfRule>
    <cfRule type="cellIs" dxfId="21" priority="24" stopIfTrue="1" operator="notBetween">
      <formula>0</formula>
      <formula>$N33</formula>
    </cfRule>
  </conditionalFormatting>
  <conditionalFormatting sqref="AC33 AC36">
    <cfRule type="expression" dxfId="20" priority="18" stopIfTrue="1">
      <formula>AND(ISNUMBER(AB35),AB35&gt;=$N33)</formula>
    </cfRule>
    <cfRule type="expression" dxfId="19" priority="19" stopIfTrue="1">
      <formula>$B35=FALSE</formula>
    </cfRule>
    <cfRule type="expression" dxfId="18" priority="20" stopIfTrue="1">
      <formula>$C35=1</formula>
    </cfRule>
  </conditionalFormatting>
  <conditionalFormatting sqref="L37:M38">
    <cfRule type="expression" dxfId="17" priority="2198" stopIfTrue="1">
      <formula>$C66=1</formula>
    </cfRule>
  </conditionalFormatting>
  <conditionalFormatting sqref="L39:N39 L42:N42 L45:N45 L48:N48 L51:N51 L54:N54 L57:N57 L60:N60 L63:N63 L40:M41 L43:M44 L46:M47 L49:M50 L52:M53 L55:M56 L58:M59 L61:M62 L64:M65">
    <cfRule type="expression" dxfId="16" priority="11" stopIfTrue="1">
      <formula>$C41=1</formula>
    </cfRule>
  </conditionalFormatting>
  <conditionalFormatting sqref="O39 O42 O45 O48 O51 O54 O57 O60 O63">
    <cfRule type="expression" dxfId="15" priority="16" stopIfTrue="1">
      <formula>$B41=FALSE</formula>
    </cfRule>
    <cfRule type="expression" dxfId="14" priority="17" stopIfTrue="1">
      <formula>$C41=1</formula>
    </cfRule>
  </conditionalFormatting>
  <conditionalFormatting sqref="P40:W40 P43:W43 P46:W46 P49:W49 P52:W52 P55:W55 P58:W58 P61:W61 P64:W64">
    <cfRule type="expression" dxfId="13" priority="12" stopIfTrue="1">
      <formula>AND(ISNUMBER(O41),O41&gt;=$N39)</formula>
    </cfRule>
    <cfRule type="cellIs" dxfId="12" priority="13" stopIfTrue="1" operator="notBetween">
      <formula>0</formula>
      <formula>1</formula>
    </cfRule>
  </conditionalFormatting>
  <conditionalFormatting sqref="P41:W41 P44:W44 P47:W47 P50:W50 P53:W53 P56:W56 P59:W59 P62:W62 P65:W65">
    <cfRule type="expression" dxfId="11" priority="14" stopIfTrue="1">
      <formula>AND(ISNUMBER(O41),O41&gt;=$N39)</formula>
    </cfRule>
    <cfRule type="cellIs" dxfId="10" priority="15" stopIfTrue="1" operator="notBetween">
      <formula>0</formula>
      <formula>$N39</formula>
    </cfRule>
  </conditionalFormatting>
  <conditionalFormatting sqref="P39:W39 P42:W42 P45:W45 P48:W48 P51:W51 P54:W54 P57:W57 P60:W60 P63:W63">
    <cfRule type="expression" dxfId="9" priority="8" stopIfTrue="1">
      <formula>AND(ISNUMBER(O41),O41&gt;=$N39)</formula>
    </cfRule>
    <cfRule type="expression" dxfId="8" priority="9" stopIfTrue="1">
      <formula>$B41=FALSE</formula>
    </cfRule>
    <cfRule type="expression" dxfId="7" priority="10" stopIfTrue="1">
      <formula>$C41=1</formula>
    </cfRule>
  </conditionalFormatting>
  <conditionalFormatting sqref="AC40 AC43 AC46 AC49 AC52 AC55 AC58 AC61 AC64">
    <cfRule type="expression" dxfId="6" priority="4" stopIfTrue="1">
      <formula>AND(ISNUMBER(AB41),AB41&gt;=$N39)</formula>
    </cfRule>
    <cfRule type="cellIs" dxfId="5" priority="5" stopIfTrue="1" operator="notBetween">
      <formula>0</formula>
      <formula>1</formula>
    </cfRule>
  </conditionalFormatting>
  <conditionalFormatting sqref="AC41 AC44 AC47 AC50 AC53 AC56 AC59 AC62 AC65">
    <cfRule type="expression" dxfId="4" priority="6" stopIfTrue="1">
      <formula>AND(ISNUMBER(AB41),AB41&gt;=$N39)</formula>
    </cfRule>
    <cfRule type="cellIs" dxfId="3" priority="7" stopIfTrue="1" operator="notBetween">
      <formula>0</formula>
      <formula>$N39</formula>
    </cfRule>
  </conditionalFormatting>
  <conditionalFormatting sqref="AC39 AC42 AC45 AC48 AC51 AC54 AC57 AC60 AC63">
    <cfRule type="expression" dxfId="2" priority="1" stopIfTrue="1">
      <formula>AND(ISNUMBER(AB41),AB41&gt;=$N39)</formula>
    </cfRule>
    <cfRule type="expression" dxfId="1" priority="2" stopIfTrue="1">
      <formula>$B41=FALSE</formula>
    </cfRule>
    <cfRule type="expression" dxfId="0" priority="3" stopIfTrue="1">
      <formula>$C41=1</formula>
    </cfRule>
  </conditionalFormatting>
  <dataValidations count="2">
    <dataValidation type="whole" operator="greaterThanOrEqual" allowBlank="1" showInputMessage="1" showErrorMessage="1" errorTitle="Erro de Valor" error="Digite somente números inteiros positivos." promptTitle="Qtde de Medições já realizadas:" prompt="Digite a quantidade de medições já realizadas para o CTEF antes da Reprogramação." sqref="N9" xr:uid="{00000000-0002-0000-0400-000000000000}">
      <formula1>0</formula1>
    </dataValidation>
    <dataValidation type="decimal" allowBlank="1" showInputMessage="1" showErrorMessage="1" errorTitle="Erro de Dados" error="Digite valores maiores ou iguais à 0%. O % acumulado não deve ultrapassar 100%." sqref="P11:W11 P18:W18 AC11 AC18 P21:W21 P24:W24 P27:W27 P30:W30 AC21 AC24 AC27 AC30 P33:W33 P36:W36 AC33 AC36 P39:W39 P42:W42 P45:W45 P48:W48 P51:W51 P54:W54 P57:W57 P60:W60 P63:W63 AC39 AC42 AC45 AC48 AC51 AC54 AC57 AC60 AC63" xr:uid="{00000000-0002-0000-0400-000001000000}">
      <formula1>0</formula1>
      <formula2>1-SUM($P11:P11)+P11</formula2>
    </dataValidation>
  </dataValidations>
  <printOptions horizontalCentered="1"/>
  <pageMargins left="0.78740157480314965" right="0.78740157480314965" top="0.78740157480314965" bottom="0.78740157480314965" header="0.59055118110236227" footer="0.59055118110236227"/>
  <pageSetup paperSize="9" scale="43" fitToHeight="0" orientation="landscape" r:id="rId1"/>
  <headerFooter alignWithMargins="0">
    <oddHeader>&amp;C&amp;14I</oddHeader>
    <oddFooter>&amp;R&amp;P&amp;L27.476 v008   micro</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59</vt:i4>
      </vt:variant>
    </vt:vector>
  </HeadingPairs>
  <TitlesOfParts>
    <vt:vector size="64" baseType="lpstr">
      <vt:lpstr>DADOS</vt:lpstr>
      <vt:lpstr>BDI (1)</vt:lpstr>
      <vt:lpstr>PO</vt:lpstr>
      <vt:lpstr>PLQ</vt:lpstr>
      <vt:lpstr>CFF</vt:lpstr>
      <vt:lpstr>PLQ!_FiltrarBancodeDados</vt:lpstr>
      <vt:lpstr>PO!_FiltrarBancodeDados</vt:lpstr>
      <vt:lpstr>'BDI (1)'!Area_de_impressao</vt:lpstr>
      <vt:lpstr>CFF!Area_de_impressao</vt:lpstr>
      <vt:lpstr>DADOS!Area_de_impressao</vt:lpstr>
      <vt:lpstr>PLQ!Area_de_impressao</vt:lpstr>
      <vt:lpstr>PO!Area_de_impressao</vt:lpstr>
      <vt:lpstr>CFF.ColunaPadrão</vt:lpstr>
      <vt:lpstr>CFF.Colunas</vt:lpstr>
      <vt:lpstr>CFF.LinhaPadrão</vt:lpstr>
      <vt:lpstr>PO!Código</vt:lpstr>
      <vt:lpstr>Dados.Assinatura1</vt:lpstr>
      <vt:lpstr>Dados.Assinatura2</vt:lpstr>
      <vt:lpstr>Dados.Lista.Acompanhamento</vt:lpstr>
      <vt:lpstr>Dados.Lista.BDI</vt:lpstr>
      <vt:lpstr>Dados.Lista.Localidade</vt:lpstr>
      <vt:lpstr>Dados.Lista.RegimeExecução</vt:lpstr>
      <vt:lpstr>PO!Fonte</vt:lpstr>
      <vt:lpstr>Import.Ação</vt:lpstr>
      <vt:lpstr>Import.Apelido</vt:lpstr>
      <vt:lpstr>Import.CNPJ</vt:lpstr>
      <vt:lpstr>Import.CR</vt:lpstr>
      <vt:lpstr>Import.CTEF</vt:lpstr>
      <vt:lpstr>Import.DadosBDI</vt:lpstr>
      <vt:lpstr>Import.DataAssinaturaCTEF</vt:lpstr>
      <vt:lpstr>Import.DataBase</vt:lpstr>
      <vt:lpstr>Import.DataBaseLicit</vt:lpstr>
      <vt:lpstr>Import.DataInícioObra</vt:lpstr>
      <vt:lpstr>Import.DescLote</vt:lpstr>
      <vt:lpstr>Import.Desoneracao</vt:lpstr>
      <vt:lpstr>Import.DesoneracaoLicit</vt:lpstr>
      <vt:lpstr>Import.Empresa</vt:lpstr>
      <vt:lpstr>Import.Gestor</vt:lpstr>
      <vt:lpstr>Import.Localidade</vt:lpstr>
      <vt:lpstr>Import.LocalSINAPI</vt:lpstr>
      <vt:lpstr>Import.Município</vt:lpstr>
      <vt:lpstr>Import.ObjetoCR</vt:lpstr>
      <vt:lpstr>Import.ObjetoCTEF</vt:lpstr>
      <vt:lpstr>Import.POArred</vt:lpstr>
      <vt:lpstr>Import.Programa</vt:lpstr>
      <vt:lpstr>Import.Proponente</vt:lpstr>
      <vt:lpstr>Import.RegimeExecução</vt:lpstr>
      <vt:lpstr>Import.Vigência</vt:lpstr>
      <vt:lpstr>Linhacabeçalhodados</vt:lpstr>
      <vt:lpstr>LinhaEncargosSociais</vt:lpstr>
      <vt:lpstr>PO!linhaSINAPIxls</vt:lpstr>
      <vt:lpstr>NMaxCrono</vt:lpstr>
      <vt:lpstr>Objeto</vt:lpstr>
      <vt:lpstr>ORÇAMENTO.OpcaoCusto</vt:lpstr>
      <vt:lpstr>PLQ.ColunaPadrão</vt:lpstr>
      <vt:lpstr>PLQ.Colunas</vt:lpstr>
      <vt:lpstr>PLQ.FormulaQuant</vt:lpstr>
      <vt:lpstr>PLQ.LinhaPadrão</vt:lpstr>
      <vt:lpstr>PO.FormulaQuant</vt:lpstr>
      <vt:lpstr>PO.LinhaPadrão</vt:lpstr>
      <vt:lpstr>CFF!Titulos_de_impressao</vt:lpstr>
      <vt:lpstr>PLQ!Titulos_de_impressao</vt:lpstr>
      <vt:lpstr>PO!Titulos_de_impressao</vt:lpstr>
      <vt:lpstr>Versao</vt:lpstr>
    </vt:vector>
  </TitlesOfParts>
  <Company>caixa econômica federal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Pedroso de Farias</dc:creator>
  <cp:lastModifiedBy>Ricardo Pedroso de Farias</cp:lastModifiedBy>
  <cp:lastPrinted>2020-08-25T12:23:18Z</cp:lastPrinted>
  <dcterms:created xsi:type="dcterms:W3CDTF">1998-03-27T18:43:07Z</dcterms:created>
  <dcterms:modified xsi:type="dcterms:W3CDTF">2020-08-25T12:23:29Z</dcterms:modified>
</cp:coreProperties>
</file>